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byněk\Desktop\"/>
    </mc:Choice>
  </mc:AlternateContent>
  <bookViews>
    <workbookView xWindow="0" yWindow="0" windowWidth="28800" windowHeight="12435" firstSheet="1" activeTab="1"/>
  </bookViews>
  <sheets>
    <sheet name="Data" sheetId="1" state="hidden" r:id="rId1"/>
    <sheet name="ZŠ" sheetId="2" r:id="rId2"/>
    <sheet name="MŚ" sheetId="3" r:id="rId3"/>
    <sheet name="ŠD" sheetId="4" r:id="rId4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16" i="2"/>
  <c r="M50" i="3"/>
  <c r="K50" i="3"/>
  <c r="M49" i="3"/>
  <c r="K49" i="3"/>
  <c r="M48" i="3"/>
  <c r="K48" i="3"/>
  <c r="M45" i="3"/>
  <c r="K45" i="3"/>
  <c r="M44" i="3"/>
  <c r="K44" i="3"/>
  <c r="M43" i="3"/>
  <c r="K43" i="3"/>
  <c r="M40" i="3"/>
  <c r="K40" i="3"/>
  <c r="M39" i="3"/>
  <c r="K39" i="3"/>
  <c r="M38" i="3"/>
  <c r="K38" i="3"/>
  <c r="M35" i="3"/>
  <c r="K35" i="3"/>
  <c r="M34" i="3"/>
  <c r="K34" i="3"/>
  <c r="M33" i="3"/>
  <c r="K33" i="3"/>
  <c r="M30" i="3"/>
  <c r="K30" i="3"/>
  <c r="M29" i="3"/>
  <c r="K29" i="3"/>
  <c r="M28" i="3"/>
  <c r="K28" i="3"/>
  <c r="M25" i="3"/>
  <c r="K25" i="3"/>
  <c r="M24" i="3"/>
  <c r="K24" i="3"/>
  <c r="M23" i="3"/>
  <c r="K23" i="3"/>
  <c r="M20" i="3"/>
  <c r="K20" i="3"/>
  <c r="M19" i="3"/>
  <c r="K19" i="3"/>
  <c r="M18" i="3"/>
  <c r="K18" i="3"/>
  <c r="M15" i="3"/>
  <c r="K15" i="3"/>
  <c r="M14" i="3"/>
  <c r="K14" i="3"/>
  <c r="M13" i="3"/>
  <c r="K13" i="3"/>
  <c r="M10" i="3"/>
  <c r="K10" i="3"/>
  <c r="M9" i="3"/>
  <c r="K9" i="3"/>
  <c r="M8" i="3"/>
  <c r="K8" i="3"/>
  <c r="M5" i="3"/>
  <c r="M4" i="3"/>
  <c r="M3" i="3"/>
  <c r="K5" i="3"/>
  <c r="K4" i="3"/>
  <c r="K3" i="3"/>
  <c r="G15" i="2" l="1"/>
  <c r="G14" i="2"/>
  <c r="R17" i="2" l="1"/>
  <c r="G19" i="2"/>
  <c r="R23" i="2" s="1"/>
  <c r="G18" i="2"/>
  <c r="R22" i="2" s="1"/>
  <c r="R21" i="2"/>
  <c r="R20" i="2"/>
  <c r="R18" i="2"/>
  <c r="M11" i="3"/>
  <c r="N10" i="3"/>
  <c r="J12" i="3"/>
  <c r="L12" i="3"/>
  <c r="M16" i="3"/>
  <c r="J17" i="3"/>
  <c r="L17" i="3"/>
  <c r="N19" i="3"/>
  <c r="J22" i="3"/>
  <c r="L22" i="3"/>
  <c r="J27" i="3"/>
  <c r="L27" i="3"/>
  <c r="J32" i="3"/>
  <c r="L32" i="3"/>
  <c r="M36" i="3"/>
  <c r="J37" i="3"/>
  <c r="L37" i="3"/>
  <c r="N39" i="3"/>
  <c r="J42" i="3"/>
  <c r="L42" i="3"/>
  <c r="J47" i="3"/>
  <c r="L47" i="3"/>
  <c r="M51" i="3"/>
  <c r="P7" i="3"/>
  <c r="O7" i="3"/>
  <c r="N7" i="3"/>
  <c r="L7" i="3"/>
  <c r="J7" i="3"/>
  <c r="P12" i="3"/>
  <c r="O12" i="3"/>
  <c r="N12" i="3"/>
  <c r="P17" i="3"/>
  <c r="O17" i="3"/>
  <c r="N17" i="3"/>
  <c r="P22" i="3"/>
  <c r="O22" i="3"/>
  <c r="N22" i="3"/>
  <c r="P27" i="3"/>
  <c r="O27" i="3"/>
  <c r="N27" i="3"/>
  <c r="P32" i="3"/>
  <c r="O32" i="3"/>
  <c r="N32" i="3"/>
  <c r="P37" i="3"/>
  <c r="O37" i="3"/>
  <c r="N37" i="3"/>
  <c r="P42" i="3"/>
  <c r="O42" i="3"/>
  <c r="N42" i="3"/>
  <c r="P47" i="3"/>
  <c r="O47" i="3"/>
  <c r="N47" i="3"/>
  <c r="P2" i="3"/>
  <c r="O2" i="3"/>
  <c r="N2" i="3"/>
  <c r="L2" i="3"/>
  <c r="J2" i="3"/>
  <c r="C3" i="4"/>
  <c r="F23" i="4" s="1"/>
  <c r="F19" i="4"/>
  <c r="F11" i="4"/>
  <c r="F10" i="4"/>
  <c r="E23" i="4"/>
  <c r="G51" i="3"/>
  <c r="G46" i="3"/>
  <c r="G41" i="3"/>
  <c r="G36" i="3"/>
  <c r="G31" i="3"/>
  <c r="G26" i="3"/>
  <c r="G21" i="3"/>
  <c r="G16" i="3"/>
  <c r="AL51" i="3"/>
  <c r="AL46" i="3"/>
  <c r="AL41" i="3"/>
  <c r="AL36" i="3"/>
  <c r="AL31" i="3"/>
  <c r="AL26" i="3"/>
  <c r="AL21" i="3"/>
  <c r="AL16" i="3"/>
  <c r="AK26" i="3"/>
  <c r="F26" i="3" s="1"/>
  <c r="AK31" i="3"/>
  <c r="F31" i="3" s="1"/>
  <c r="E51" i="3"/>
  <c r="E46" i="3"/>
  <c r="E41" i="3"/>
  <c r="E36" i="3"/>
  <c r="E31" i="3"/>
  <c r="E26" i="3"/>
  <c r="E21" i="3"/>
  <c r="E16" i="3"/>
  <c r="E11" i="3"/>
  <c r="E6" i="3"/>
  <c r="C6" i="3"/>
  <c r="C5" i="3"/>
  <c r="AL50" i="3"/>
  <c r="AK50" i="3"/>
  <c r="AL49" i="3"/>
  <c r="AK49" i="3"/>
  <c r="AL48" i="3"/>
  <c r="AK48" i="3"/>
  <c r="AK51" i="3" s="1"/>
  <c r="F51" i="3" s="1"/>
  <c r="AL45" i="3"/>
  <c r="AK45" i="3"/>
  <c r="AL44" i="3"/>
  <c r="AK44" i="3"/>
  <c r="AL43" i="3"/>
  <c r="AK43" i="3"/>
  <c r="AK46" i="3" s="1"/>
  <c r="F46" i="3" s="1"/>
  <c r="AL40" i="3"/>
  <c r="AK40" i="3"/>
  <c r="AL39" i="3"/>
  <c r="AK39" i="3"/>
  <c r="AL38" i="3"/>
  <c r="AK38" i="3"/>
  <c r="AK41" i="3" s="1"/>
  <c r="F41" i="3" s="1"/>
  <c r="AL35" i="3"/>
  <c r="AK35" i="3"/>
  <c r="AL34" i="3"/>
  <c r="AK34" i="3"/>
  <c r="AL33" i="3"/>
  <c r="AK33" i="3"/>
  <c r="AK36" i="3" s="1"/>
  <c r="F36" i="3" s="1"/>
  <c r="AL30" i="3"/>
  <c r="AK30" i="3"/>
  <c r="AL29" i="3"/>
  <c r="AK29" i="3"/>
  <c r="AL28" i="3"/>
  <c r="AK28" i="3"/>
  <c r="AL25" i="3"/>
  <c r="AK25" i="3"/>
  <c r="AL24" i="3"/>
  <c r="AK24" i="3"/>
  <c r="AL23" i="3"/>
  <c r="AK23" i="3"/>
  <c r="AL20" i="3"/>
  <c r="AK20" i="3"/>
  <c r="AL19" i="3"/>
  <c r="AK19" i="3"/>
  <c r="AL18" i="3"/>
  <c r="AK18" i="3"/>
  <c r="AK21" i="3" s="1"/>
  <c r="F21" i="3" s="1"/>
  <c r="AL15" i="3"/>
  <c r="AK15" i="3"/>
  <c r="AL14" i="3"/>
  <c r="AK14" i="3"/>
  <c r="AL13" i="3"/>
  <c r="AK13" i="3"/>
  <c r="AK16" i="3" s="1"/>
  <c r="F16" i="3" s="1"/>
  <c r="AL10" i="3"/>
  <c r="AK10" i="3"/>
  <c r="AL9" i="3"/>
  <c r="AK9" i="3"/>
  <c r="AL8" i="3"/>
  <c r="AK8" i="3"/>
  <c r="AK11" i="3" s="1"/>
  <c r="F11" i="3" s="1"/>
  <c r="AL5" i="3"/>
  <c r="AL4" i="3"/>
  <c r="AL3" i="3"/>
  <c r="AL6" i="3" s="1"/>
  <c r="AK4" i="3"/>
  <c r="AK5" i="3"/>
  <c r="AK3" i="3"/>
  <c r="AK6" i="3" s="1"/>
  <c r="F6" i="3" s="1"/>
  <c r="F47" i="3"/>
  <c r="G47" i="3"/>
  <c r="H47" i="3"/>
  <c r="F42" i="3"/>
  <c r="G42" i="3"/>
  <c r="H42" i="3"/>
  <c r="F37" i="3"/>
  <c r="G37" i="3"/>
  <c r="H37" i="3"/>
  <c r="F32" i="3"/>
  <c r="G32" i="3"/>
  <c r="H32" i="3"/>
  <c r="F27" i="3"/>
  <c r="G27" i="3"/>
  <c r="H27" i="3"/>
  <c r="F22" i="3"/>
  <c r="G22" i="3"/>
  <c r="H22" i="3"/>
  <c r="F17" i="3"/>
  <c r="G17" i="3"/>
  <c r="H17" i="3"/>
  <c r="F12" i="3"/>
  <c r="G12" i="3"/>
  <c r="H12" i="3"/>
  <c r="F7" i="3"/>
  <c r="G7" i="3"/>
  <c r="H7" i="3"/>
  <c r="G2" i="3"/>
  <c r="H2" i="3"/>
  <c r="F2" i="3"/>
  <c r="E48" i="3"/>
  <c r="E49" i="3"/>
  <c r="E50" i="3"/>
  <c r="E47" i="3"/>
  <c r="E43" i="3"/>
  <c r="E44" i="3"/>
  <c r="E45" i="3"/>
  <c r="E42" i="3"/>
  <c r="E38" i="3"/>
  <c r="E39" i="3"/>
  <c r="E40" i="3"/>
  <c r="E37" i="3"/>
  <c r="E33" i="3"/>
  <c r="E34" i="3"/>
  <c r="E35" i="3"/>
  <c r="E32" i="3"/>
  <c r="E28" i="3"/>
  <c r="E29" i="3"/>
  <c r="E30" i="3"/>
  <c r="E27" i="3"/>
  <c r="E23" i="3"/>
  <c r="E24" i="3"/>
  <c r="E25" i="3"/>
  <c r="E22" i="3"/>
  <c r="E18" i="3"/>
  <c r="E19" i="3"/>
  <c r="E20" i="3"/>
  <c r="E17" i="3"/>
  <c r="E13" i="3"/>
  <c r="E14" i="3"/>
  <c r="E15" i="3"/>
  <c r="E12" i="3"/>
  <c r="E8" i="3"/>
  <c r="E9" i="3"/>
  <c r="E10" i="3"/>
  <c r="E7" i="3"/>
  <c r="E3" i="3"/>
  <c r="E4" i="3"/>
  <c r="E5" i="3"/>
  <c r="E2" i="3"/>
  <c r="E21" i="2" l="1"/>
  <c r="AN8" i="3"/>
  <c r="AM8" i="3" s="1"/>
  <c r="H8" i="3" s="1"/>
  <c r="R19" i="2"/>
  <c r="E22" i="2" s="1"/>
  <c r="E3" i="4"/>
  <c r="K11" i="3"/>
  <c r="N15" i="3"/>
  <c r="K31" i="3"/>
  <c r="N30" i="3"/>
  <c r="N35" i="3"/>
  <c r="N40" i="3"/>
  <c r="N44" i="3"/>
  <c r="N45" i="3"/>
  <c r="M31" i="3"/>
  <c r="N28" i="3"/>
  <c r="N4" i="3"/>
  <c r="N50" i="3"/>
  <c r="N49" i="3"/>
  <c r="K51" i="3"/>
  <c r="K46" i="3"/>
  <c r="K41" i="3"/>
  <c r="M46" i="3"/>
  <c r="M41" i="3"/>
  <c r="N9" i="3"/>
  <c r="N20" i="3"/>
  <c r="M21" i="3"/>
  <c r="N25" i="3"/>
  <c r="N24" i="3"/>
  <c r="M26" i="3"/>
  <c r="N29" i="3"/>
  <c r="N34" i="3"/>
  <c r="K36" i="3"/>
  <c r="K26" i="3"/>
  <c r="K21" i="3"/>
  <c r="K16" i="3"/>
  <c r="N14" i="3"/>
  <c r="N33" i="3"/>
  <c r="E5" i="4"/>
  <c r="E13" i="4"/>
  <c r="E14" i="4"/>
  <c r="F20" i="4"/>
  <c r="E22" i="4"/>
  <c r="E9" i="4"/>
  <c r="E18" i="4"/>
  <c r="F6" i="4"/>
  <c r="F16" i="4"/>
  <c r="C4" i="4"/>
  <c r="C5" i="4" s="1"/>
  <c r="E6" i="4"/>
  <c r="F3" i="4"/>
  <c r="F12" i="4"/>
  <c r="E7" i="4"/>
  <c r="F4" i="4"/>
  <c r="F13" i="4"/>
  <c r="E8" i="4"/>
  <c r="F14" i="4"/>
  <c r="E10" i="4"/>
  <c r="E19" i="4"/>
  <c r="F8" i="4"/>
  <c r="F17" i="4"/>
  <c r="E15" i="4"/>
  <c r="F21" i="4"/>
  <c r="E16" i="4"/>
  <c r="F22" i="4"/>
  <c r="E17" i="4"/>
  <c r="F5" i="4"/>
  <c r="F2" i="4"/>
  <c r="E11" i="4"/>
  <c r="E21" i="4"/>
  <c r="F9" i="4"/>
  <c r="F18" i="4"/>
  <c r="E4" i="4"/>
  <c r="E12" i="4"/>
  <c r="E20" i="4"/>
  <c r="F7" i="4"/>
  <c r="F15" i="4"/>
  <c r="AN34" i="3"/>
  <c r="AM34" i="3" s="1"/>
  <c r="H34" i="3" s="1"/>
  <c r="AN9" i="3"/>
  <c r="AM9" i="3" s="1"/>
  <c r="H9" i="3" s="1"/>
  <c r="AN13" i="3"/>
  <c r="AM13" i="3" s="1"/>
  <c r="H13" i="3" s="1"/>
  <c r="AN35" i="3"/>
  <c r="AM35" i="3" s="1"/>
  <c r="H35" i="3" s="1"/>
  <c r="AN38" i="3"/>
  <c r="AM38" i="3" s="1"/>
  <c r="K6" i="3"/>
  <c r="N5" i="3"/>
  <c r="M6" i="3"/>
  <c r="N3" i="3"/>
  <c r="AN48" i="3"/>
  <c r="AM48" i="3" s="1"/>
  <c r="H48" i="3" s="1"/>
  <c r="AN24" i="3"/>
  <c r="AM24" i="3" s="1"/>
  <c r="H24" i="3" s="1"/>
  <c r="AN23" i="3"/>
  <c r="AM23" i="3" s="1"/>
  <c r="H23" i="3" s="1"/>
  <c r="AN50" i="3"/>
  <c r="AM50" i="3" s="1"/>
  <c r="H50" i="3" s="1"/>
  <c r="AN20" i="3"/>
  <c r="AM20" i="3" s="1"/>
  <c r="H20" i="3" s="1"/>
  <c r="AN49" i="3"/>
  <c r="AM49" i="3" s="1"/>
  <c r="H49" i="3" s="1"/>
  <c r="AN10" i="3"/>
  <c r="AM10" i="3" s="1"/>
  <c r="H10" i="3" s="1"/>
  <c r="N48" i="3"/>
  <c r="N43" i="3"/>
  <c r="N38" i="3"/>
  <c r="N23" i="3"/>
  <c r="N18" i="3"/>
  <c r="N13" i="3"/>
  <c r="N8" i="3"/>
  <c r="AL11" i="3"/>
  <c r="AN45" i="3"/>
  <c r="AM45" i="3" s="1"/>
  <c r="H45" i="3" s="1"/>
  <c r="AN33" i="3"/>
  <c r="AM33" i="3" s="1"/>
  <c r="AN19" i="3"/>
  <c r="AM19" i="3" s="1"/>
  <c r="H19" i="3" s="1"/>
  <c r="AN44" i="3"/>
  <c r="AM44" i="3" s="1"/>
  <c r="H44" i="3" s="1"/>
  <c r="AN30" i="3"/>
  <c r="AM30" i="3" s="1"/>
  <c r="H30" i="3" s="1"/>
  <c r="AN18" i="3"/>
  <c r="AM18" i="3" s="1"/>
  <c r="H18" i="3" s="1"/>
  <c r="AN3" i="3"/>
  <c r="AM3" i="3" s="1"/>
  <c r="AN43" i="3"/>
  <c r="AM43" i="3" s="1"/>
  <c r="AN29" i="3"/>
  <c r="AM29" i="3" s="1"/>
  <c r="H29" i="3" s="1"/>
  <c r="AN15" i="3"/>
  <c r="AM15" i="3" s="1"/>
  <c r="H15" i="3" s="1"/>
  <c r="AN5" i="3"/>
  <c r="AM5" i="3" s="1"/>
  <c r="H5" i="3" s="1"/>
  <c r="AN40" i="3"/>
  <c r="AM40" i="3" s="1"/>
  <c r="H40" i="3" s="1"/>
  <c r="AN28" i="3"/>
  <c r="AM28" i="3" s="1"/>
  <c r="H28" i="3" s="1"/>
  <c r="AN14" i="3"/>
  <c r="AM14" i="3" s="1"/>
  <c r="H14" i="3" s="1"/>
  <c r="AN4" i="3"/>
  <c r="AM4" i="3" s="1"/>
  <c r="H4" i="3" s="1"/>
  <c r="AN39" i="3"/>
  <c r="AM39" i="3" s="1"/>
  <c r="H39" i="3" s="1"/>
  <c r="AN25" i="3"/>
  <c r="AM25" i="3" s="1"/>
  <c r="H25" i="3" s="1"/>
  <c r="W2" i="2"/>
  <c r="X5" i="2" s="1"/>
  <c r="S14" i="2"/>
  <c r="S10" i="2"/>
  <c r="T10" i="2"/>
  <c r="T9" i="2"/>
  <c r="S8" i="2"/>
  <c r="S9" i="2"/>
  <c r="R14" i="2"/>
  <c r="R13" i="2"/>
  <c r="R12" i="2"/>
  <c r="R11" i="2"/>
  <c r="R10" i="2"/>
  <c r="R9" i="2"/>
  <c r="R8" i="2"/>
  <c r="R7" i="2"/>
  <c r="R6" i="2"/>
  <c r="R5" i="2"/>
  <c r="R4" i="2"/>
  <c r="S2" i="2"/>
  <c r="E4" i="2"/>
  <c r="S3" i="2" s="1"/>
  <c r="F4" i="2"/>
  <c r="D4" i="2"/>
  <c r="R3" i="2" s="1"/>
  <c r="T1" i="2"/>
  <c r="F1" i="2" s="1"/>
  <c r="S1" i="2"/>
  <c r="E1" i="2" s="1"/>
  <c r="R1" i="2"/>
  <c r="D1" i="2" s="1"/>
  <c r="N21" i="3" l="1"/>
  <c r="R2" i="2"/>
  <c r="N41" i="3"/>
  <c r="N46" i="3"/>
  <c r="N36" i="3"/>
  <c r="N31" i="3"/>
  <c r="N6" i="3"/>
  <c r="N51" i="3"/>
  <c r="N11" i="3"/>
  <c r="N26" i="3"/>
  <c r="N16" i="3"/>
  <c r="AM31" i="3"/>
  <c r="H31" i="3" s="1"/>
  <c r="X4" i="2"/>
  <c r="T15" i="2"/>
  <c r="F5" i="2" s="1"/>
  <c r="F6" i="2" s="1"/>
  <c r="C6" i="4"/>
  <c r="AM26" i="3"/>
  <c r="H26" i="3" s="1"/>
  <c r="AM36" i="3"/>
  <c r="H36" i="3" s="1"/>
  <c r="AM51" i="3"/>
  <c r="H51" i="3" s="1"/>
  <c r="AM41" i="3"/>
  <c r="H41" i="3" s="1"/>
  <c r="AM46" i="3"/>
  <c r="H46" i="3" s="1"/>
  <c r="O46" i="3" s="1"/>
  <c r="P46" i="3" s="1"/>
  <c r="H38" i="3"/>
  <c r="AM21" i="3"/>
  <c r="H21" i="3" s="1"/>
  <c r="AM16" i="3"/>
  <c r="H16" i="3" s="1"/>
  <c r="H43" i="3"/>
  <c r="H33" i="3"/>
  <c r="AM11" i="3"/>
  <c r="H11" i="3" s="1"/>
  <c r="H3" i="3"/>
  <c r="AM6" i="3"/>
  <c r="H6" i="3" s="1"/>
  <c r="S15" i="2"/>
  <c r="E5" i="2" s="1"/>
  <c r="E6" i="2" s="1"/>
  <c r="R15" i="2"/>
  <c r="D5" i="2" s="1"/>
  <c r="D6" i="2" s="1"/>
  <c r="O31" i="3" l="1"/>
  <c r="P31" i="3" s="1"/>
  <c r="O21" i="3"/>
  <c r="P21" i="3" s="1"/>
  <c r="O41" i="3"/>
  <c r="P41" i="3" s="1"/>
  <c r="O36" i="3"/>
  <c r="P36" i="3" s="1"/>
  <c r="O6" i="3"/>
  <c r="P6" i="3" s="1"/>
  <c r="O51" i="3"/>
  <c r="P51" i="3" s="1"/>
  <c r="O11" i="3"/>
  <c r="P11" i="3" s="1"/>
  <c r="O26" i="3"/>
  <c r="P26" i="3" s="1"/>
  <c r="O16" i="3"/>
  <c r="P16" i="3" s="1"/>
  <c r="C7" i="3"/>
  <c r="D7" i="2"/>
  <c r="E23" i="2" s="1"/>
</calcChain>
</file>

<file path=xl/comments1.xml><?xml version="1.0" encoding="utf-8"?>
<comments xmlns="http://schemas.openxmlformats.org/spreadsheetml/2006/main">
  <authors>
    <author>Zbyněk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Vyber typ základní školy.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doplňte počet žáků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doplňte počet žáků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doplňte počet žáků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doplňte počet tříd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doplňte počet tříd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doplňte počet tříd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nevyplňujte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nevyplňujte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nevyplňujte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nevyplňujte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neyplňujte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nevyplňujte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nevyplňujte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nevyplňujte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nevyplňujte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nevyplňujte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nevyplňujte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nevyplňujte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 ZŠ, oddělení ŠD a tříd MŠ spadající pod ředitele školy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doplňte počet hodin VP dle nařízení vlády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 ZŠ, oddělení ŠD a tříd MŠ spadající pod zástupce ředitele školy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 ZŠ, oddělení ŠD a tříd MŠ spadající pod zástupce ředitele školy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žáků spadajících pod výchovného poradce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žáků spadajících pod výchovného poradce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žáků spadajících pod metodika ICT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žáků spadajících pod metodika ICT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 se zkrácenou vyučovací povinností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hodin, na kolik je snížená vyučovací povinnost pro učitele 1. tříd pro jednu třídu</t>
        </r>
      </text>
    </comment>
  </commentList>
</comments>
</file>

<file path=xl/comments2.xml><?xml version="1.0" encoding="utf-8"?>
<comments xmlns="http://schemas.openxmlformats.org/spreadsheetml/2006/main">
  <authors>
    <author>Zbyněk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Vyplňte počet pracovišť MŠ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Celkový počet dětí na všech pracovištích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Celkový počet tříd na všech pracovištích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Nevyplňujte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Nevyplňujte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Nevyplňujte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44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45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48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49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  <comment ref="L50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Uveďte počet tříd, pro které se bude počítat snížená vučovací povinnost</t>
        </r>
      </text>
    </comment>
  </commentList>
</comments>
</file>

<file path=xl/comments3.xml><?xml version="1.0" encoding="utf-8"?>
<comments xmlns="http://schemas.openxmlformats.org/spreadsheetml/2006/main">
  <authors>
    <author>Zbyněk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doplňte počet účastníků ŠD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Nevplňujte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Nevyplňujte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Nevyplňujte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Zbyněk:</t>
        </r>
        <r>
          <rPr>
            <sz val="9"/>
            <color indexed="81"/>
            <rFont val="Tahoma"/>
            <family val="2"/>
            <charset val="238"/>
          </rPr>
          <t xml:space="preserve">
Nevyplňujte</t>
        </r>
      </text>
    </comment>
  </commentList>
</comments>
</file>

<file path=xl/sharedStrings.xml><?xml version="1.0" encoding="utf-8"?>
<sst xmlns="http://schemas.openxmlformats.org/spreadsheetml/2006/main" count="276" uniqueCount="165">
  <si>
    <t>Typ základní školy</t>
  </si>
  <si>
    <t>1 - Základní škola s ročníky prvního a druhého stupně, která má více než 2 třídy v některém ročníku</t>
  </si>
  <si>
    <t>2 - Základní škola s ročníky prvního a druhého stupně, která má nejvýše 2 třídy v každém ročníku</t>
  </si>
  <si>
    <t>3 - Základní škola tvořená 1 třídou prvního stupně</t>
  </si>
  <si>
    <t>4 - Základní škola tvořená 2 třídami prvního stupně</t>
  </si>
  <si>
    <t>5 - Základní škola tvořená 3 třídami prvního stupně</t>
  </si>
  <si>
    <t>6 - Základní škola tvořená 4 a více třídami prvního stupně</t>
  </si>
  <si>
    <t>7 - Základní škola zřízená podle § 16 odst. 9 školského zákona</t>
  </si>
  <si>
    <t>8 - Základní škola při zdravotnickém zařízení mimo psychiatrické nemocnice</t>
  </si>
  <si>
    <t>9 - Základní škola při psychiatrické nemocnici</t>
  </si>
  <si>
    <t>10 - Základní škola s jazykem národnostní menšiny tvořená 1 třídou prvního stupně</t>
  </si>
  <si>
    <t>11 - Základní škola s jazykem národnostní menšiny tvořená 2 třídami prvního stupně</t>
  </si>
  <si>
    <t>12 - Základní škola s jazykem národnostní menšiny tvořená 3 a více třídami prvního stupně</t>
  </si>
  <si>
    <t>13 - Základní škola s jazykem národnostní menšiny s ročníky prvního a druhého stupně</t>
  </si>
  <si>
    <t>1. stupeň</t>
  </si>
  <si>
    <t>2. stupeň</t>
  </si>
  <si>
    <t>&gt;8 až 12</t>
  </si>
  <si>
    <t>&gt;12 až 14</t>
  </si>
  <si>
    <t>&gt;14 až &lt;17</t>
  </si>
  <si>
    <t>17 až 20</t>
  </si>
  <si>
    <t>&gt;20 až 24</t>
  </si>
  <si>
    <t>&gt;24 až 27</t>
  </si>
  <si>
    <t>&gt;27</t>
  </si>
  <si>
    <t>&gt;8 až 10</t>
  </si>
  <si>
    <t>&gt;10 až &lt;15</t>
  </si>
  <si>
    <t>15 až 20</t>
  </si>
  <si>
    <t>6 až 9</t>
  </si>
  <si>
    <t>10 až 16</t>
  </si>
  <si>
    <t>17 až 23</t>
  </si>
  <si>
    <t>24 až 27</t>
  </si>
  <si>
    <t>&lt;=5</t>
  </si>
  <si>
    <t>&lt;=8</t>
  </si>
  <si>
    <t>&lt;=6</t>
  </si>
  <si>
    <t>&gt;6 až &lt;12</t>
  </si>
  <si>
    <t>12 až 18</t>
  </si>
  <si>
    <t>&gt;18 až 24</t>
  </si>
  <si>
    <t>&lt;=7</t>
  </si>
  <si>
    <t>&gt;19 až 24</t>
  </si>
  <si>
    <t>14 až 19</t>
  </si>
  <si>
    <t>&gt;7 až &lt;14</t>
  </si>
  <si>
    <t>&gt;5 až 10</t>
  </si>
  <si>
    <t>&gt;14 až &lt;15</t>
  </si>
  <si>
    <t>&lt;6</t>
  </si>
  <si>
    <t>6 až 10</t>
  </si>
  <si>
    <t>&gt;10</t>
  </si>
  <si>
    <t>1. a 2. stupeň</t>
  </si>
  <si>
    <t>&lt;=3</t>
  </si>
  <si>
    <t>&gt;3 až &gt;6</t>
  </si>
  <si>
    <t>6 až &lt;10</t>
  </si>
  <si>
    <t>&gt;=10</t>
  </si>
  <si>
    <t>&lt;=4</t>
  </si>
  <si>
    <t>5 až 7</t>
  </si>
  <si>
    <t>8 až 16</t>
  </si>
  <si>
    <t>&gt;5 až &lt;10</t>
  </si>
  <si>
    <t>10 až 19</t>
  </si>
  <si>
    <t>10 až 18</t>
  </si>
  <si>
    <t>10 až 20</t>
  </si>
  <si>
    <t>Typ základní školy:</t>
  </si>
  <si>
    <t>Počet žáků:</t>
  </si>
  <si>
    <t>Počet tříd:</t>
  </si>
  <si>
    <t>Ø na třídu:</t>
  </si>
  <si>
    <t>Koeficient:</t>
  </si>
  <si>
    <t>PHMax:</t>
  </si>
  <si>
    <t>Celkem</t>
  </si>
  <si>
    <t>Nižší vyučovací povinnost:</t>
  </si>
  <si>
    <t>ředitel školy</t>
  </si>
  <si>
    <t>Vyučovací povinnost</t>
  </si>
  <si>
    <t>Výchovný poradce:</t>
  </si>
  <si>
    <t>ICT metodik:</t>
  </si>
  <si>
    <t>Počet úvazků s NVP:</t>
  </si>
  <si>
    <t>Další možný počet úvazků:</t>
  </si>
  <si>
    <t>Celkem hodin NVP:</t>
  </si>
  <si>
    <t>Typ mateřské školy</t>
  </si>
  <si>
    <t>1 - s polodenním provozem</t>
  </si>
  <si>
    <t>2 - s celodenním provozem</t>
  </si>
  <si>
    <t>3 - s internátním provozem</t>
  </si>
  <si>
    <t>4 až &lt;4,5</t>
  </si>
  <si>
    <t>4,5 až &lt;5</t>
  </si>
  <si>
    <t>5 až &lt;5,5</t>
  </si>
  <si>
    <t>5,5 až &lt;6</t>
  </si>
  <si>
    <t>6 až 6,5</t>
  </si>
  <si>
    <t>&gt;6,5 až &lt;7</t>
  </si>
  <si>
    <t>7 až &lt;7,5</t>
  </si>
  <si>
    <t>7,5 až &lt;8</t>
  </si>
  <si>
    <t>8 až &lt;8,5</t>
  </si>
  <si>
    <t>8,5 až &lt;9</t>
  </si>
  <si>
    <t>9 až &lt;9,5</t>
  </si>
  <si>
    <t>9,5 až &lt;10</t>
  </si>
  <si>
    <t>10 až &lt;10,5</t>
  </si>
  <si>
    <t>10,5 až &lt;11</t>
  </si>
  <si>
    <t>11 až &lt;11,5</t>
  </si>
  <si>
    <t>11,5 až &lt;12</t>
  </si>
  <si>
    <t>20 až &lt;20,5</t>
  </si>
  <si>
    <t>20,5 až &lt;21</t>
  </si>
  <si>
    <t>21 až &lt;21,5</t>
  </si>
  <si>
    <t>21,5 až &lt;22</t>
  </si>
  <si>
    <t>&gt;=22</t>
  </si>
  <si>
    <t>Počet pracovišt MŠ:</t>
  </si>
  <si>
    <t>Pracoviště 1</t>
  </si>
  <si>
    <t>Počet tříd s celodenním provozem</t>
  </si>
  <si>
    <t>Počet tříd s polodenním provozem</t>
  </si>
  <si>
    <t>Počet tříd s Internátním provozem</t>
  </si>
  <si>
    <t>Pracoviště 2</t>
  </si>
  <si>
    <t>Pracoviště 3</t>
  </si>
  <si>
    <t>Pracoviště 4</t>
  </si>
  <si>
    <t>Pracoviště 5</t>
  </si>
  <si>
    <t>Pracoviště 6</t>
  </si>
  <si>
    <t>Pracoviště 7</t>
  </si>
  <si>
    <t>Pracoviště 8</t>
  </si>
  <si>
    <t>Pracoviště 9</t>
  </si>
  <si>
    <t>Pracoviště 10</t>
  </si>
  <si>
    <t>Počet tříd</t>
  </si>
  <si>
    <t>Délka provozu</t>
  </si>
  <si>
    <t>PHMax</t>
  </si>
  <si>
    <t>Počet dětí v MŠ:</t>
  </si>
  <si>
    <t>Počet tříd v MŠ:</t>
  </si>
  <si>
    <t>Průměrný počet na třídu:</t>
  </si>
  <si>
    <t>Krácení PHMax</t>
  </si>
  <si>
    <t>Mnimální průměrný počet na třídu:</t>
  </si>
  <si>
    <t>Celkem PHMax</t>
  </si>
  <si>
    <t>Ředitel/-ka</t>
  </si>
  <si>
    <t>Další množství úvazků</t>
  </si>
  <si>
    <t>ne</t>
  </si>
  <si>
    <t>ano</t>
  </si>
  <si>
    <t>Celkem vedení</t>
  </si>
  <si>
    <t>Zbývá</t>
  </si>
  <si>
    <t>Počet oddělení školní družiny:</t>
  </si>
  <si>
    <t>Oddělení 1</t>
  </si>
  <si>
    <t>Oddělení 2</t>
  </si>
  <si>
    <t>Oddělení 3</t>
  </si>
  <si>
    <t>Oddělení 4</t>
  </si>
  <si>
    <t>Oddělení 5</t>
  </si>
  <si>
    <t>Oddělení 6</t>
  </si>
  <si>
    <t>Oddělení 7</t>
  </si>
  <si>
    <t>Oddělení 8</t>
  </si>
  <si>
    <t>Oddělení 9</t>
  </si>
  <si>
    <t>Oddělení 10</t>
  </si>
  <si>
    <t>Oddělení 11</t>
  </si>
  <si>
    <t>Oddělení 12</t>
  </si>
  <si>
    <t>Oddělení 13</t>
  </si>
  <si>
    <t>Oddělení 14</t>
  </si>
  <si>
    <t>Oddělení 15</t>
  </si>
  <si>
    <t>Oddělení 16</t>
  </si>
  <si>
    <t>Oddělení 17</t>
  </si>
  <si>
    <t>Oddělení 18</t>
  </si>
  <si>
    <t>Oddělení 19</t>
  </si>
  <si>
    <t>Oddělení 20</t>
  </si>
  <si>
    <t>Oddělení 21</t>
  </si>
  <si>
    <t>Celkem PHMax:</t>
  </si>
  <si>
    <t>Počet účastníků:</t>
  </si>
  <si>
    <t>Průměrná naplněnost</t>
  </si>
  <si>
    <t>Krácení PHMax:</t>
  </si>
  <si>
    <t>Zástupce ředitele/-ky</t>
  </si>
  <si>
    <t>zástupce ředitele I</t>
  </si>
  <si>
    <t>zástupce ředitele II</t>
  </si>
  <si>
    <t>výchovný poradce I</t>
  </si>
  <si>
    <t>výchovný poradce II</t>
  </si>
  <si>
    <t>metodik ICT I</t>
  </si>
  <si>
    <t>metodik ICT II</t>
  </si>
  <si>
    <t>učitelé v 1. třídách</t>
  </si>
  <si>
    <t>ano/ne</t>
  </si>
  <si>
    <t>Počet žáků/tříd</t>
  </si>
  <si>
    <t>Počet hodin VP</t>
  </si>
  <si>
    <t>Vyberte typ základní školy a poté doplňte údaje pro jednotlivé stupně: počet žáků a počet tříd.
Ve spodní části pak doplňte údaje pro vyučující se zkrácenou vyučovací povinností (VP) dle nařízení vlády. U ředitele školy je nutné doplnit oba údaje ručně podle typu školy.</t>
  </si>
  <si>
    <t xml:space="preserve">K jednotlivým pracovištím doplňte počet tříd podle druhů provozu a délku provozu. Těchto tříd.
Ve vedlejší tabulce pak uveďte počty tříd, které se budou započítávat do snížené vyučovací povinnosti dle nařízení vlády u vedoucích pracovníků, pokud jsou na tomto pracovišti. Tato vyučovací povinnost bude odečtena a posléze vypočítány možné úvazky.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</si>
</sst>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/>
    <xf numFmtId="16" fontId="0" fillId="0" borderId="1" xfId="0" applyNumberFormat="1" applyBorder="1"/>
    <xf numFmtId="0" fontId="0" fillId="0" borderId="1" xfId="0" applyFill="1" applyBorder="1"/>
    <xf numFmtId="0" fontId="3" fillId="0" borderId="0" xfId="0" applyFont="1"/>
    <xf numFmtId="0" fontId="3" fillId="0" borderId="4" xfId="0" applyFont="1" applyBorder="1"/>
    <xf numFmtId="0" fontId="4" fillId="2" borderId="4" xfId="0" applyFont="1" applyFill="1" applyBorder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2" fontId="3" fillId="3" borderId="0" xfId="0" applyNumberFormat="1" applyFont="1" applyFill="1"/>
    <xf numFmtId="0" fontId="3" fillId="3" borderId="0" xfId="0" applyFont="1" applyFill="1" applyAlignment="1"/>
    <xf numFmtId="0" fontId="3" fillId="3" borderId="1" xfId="0" applyFont="1" applyFill="1" applyBorder="1"/>
    <xf numFmtId="0" fontId="4" fillId="3" borderId="0" xfId="0" applyFont="1" applyFill="1"/>
    <xf numFmtId="2" fontId="3" fillId="3" borderId="1" xfId="0" applyNumberFormat="1" applyFont="1" applyFill="1" applyBorder="1"/>
    <xf numFmtId="0" fontId="0" fillId="3" borderId="0" xfId="0" applyFill="1"/>
    <xf numFmtId="0" fontId="0" fillId="0" borderId="5" xfId="0" applyFill="1" applyBorder="1"/>
    <xf numFmtId="0" fontId="0" fillId="0" borderId="6" xfId="0" applyFill="1" applyBorder="1"/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0" borderId="0" xfId="0"/>
    <xf numFmtId="0" fontId="3" fillId="0" borderId="0" xfId="0" applyFont="1"/>
    <xf numFmtId="0" fontId="3" fillId="3" borderId="0" xfId="0" applyFont="1" applyFill="1"/>
    <xf numFmtId="0" fontId="3" fillId="3" borderId="1" xfId="0" applyFont="1" applyFill="1" applyBorder="1"/>
    <xf numFmtId="0" fontId="4" fillId="3" borderId="0" xfId="0" applyFont="1" applyFill="1"/>
    <xf numFmtId="2" fontId="3" fillId="3" borderId="1" xfId="0" applyNumberFormat="1" applyFont="1" applyFill="1" applyBorder="1"/>
    <xf numFmtId="2" fontId="0" fillId="0" borderId="0" xfId="0" applyNumberFormat="1"/>
    <xf numFmtId="0" fontId="5" fillId="2" borderId="4" xfId="0" applyFont="1" applyFill="1" applyBorder="1" applyAlignment="1">
      <alignment horizontal="right"/>
    </xf>
    <xf numFmtId="0" fontId="0" fillId="3" borderId="4" xfId="0" applyFill="1" applyBorder="1"/>
    <xf numFmtId="0" fontId="0" fillId="3" borderId="0" xfId="0" applyFill="1" applyAlignment="1">
      <alignment horizontal="center"/>
    </xf>
    <xf numFmtId="2" fontId="0" fillId="3" borderId="0" xfId="0" applyNumberFormat="1" applyFill="1"/>
    <xf numFmtId="2" fontId="0" fillId="3" borderId="4" xfId="0" applyNumberFormat="1" applyFill="1" applyBorder="1"/>
    <xf numFmtId="0" fontId="0" fillId="3" borderId="4" xfId="0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4" fillId="2" borderId="1" xfId="0" applyFont="1" applyFill="1" applyBorder="1"/>
    <xf numFmtId="0" fontId="4" fillId="2" borderId="3" xfId="0" applyFont="1" applyFill="1" applyBorder="1"/>
    <xf numFmtId="0" fontId="4" fillId="2" borderId="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2" fontId="4" fillId="2" borderId="1" xfId="0" applyNumberFormat="1" applyFont="1" applyFill="1" applyBorder="1" applyAlignment="1"/>
    <xf numFmtId="0" fontId="4" fillId="4" borderId="1" xfId="0" applyFont="1" applyFill="1" applyBorder="1"/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</cellXfs>
  <cellStyles count="1">
    <cellStyle name="Normální" xfId="0" builtinId="0"/>
  </cellStyles>
  <dxfs count="292"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workbookViewId="0">
      <selection activeCell="C25" sqref="C25:C27"/>
    </sheetView>
  </sheetViews>
  <sheetFormatPr defaultRowHeight="15" x14ac:dyDescent="0.25"/>
  <cols>
    <col min="1" max="1" width="89.140625" bestFit="1" customWidth="1"/>
    <col min="4" max="4" width="9.28515625" customWidth="1"/>
    <col min="5" max="5" width="9.140625" bestFit="1" customWidth="1"/>
    <col min="17" max="17" width="10.28515625" bestFit="1" customWidth="1"/>
    <col min="30" max="30" width="12.5703125" bestFit="1" customWidth="1"/>
    <col min="31" max="31" width="10.28515625" bestFit="1" customWidth="1"/>
    <col min="35" max="35" width="12.5703125" bestFit="1" customWidth="1"/>
  </cols>
  <sheetData>
    <row r="1" spans="1:48" x14ac:dyDescent="0.25">
      <c r="A1" t="s">
        <v>0</v>
      </c>
      <c r="C1" s="46">
        <v>1</v>
      </c>
      <c r="D1" s="46"/>
      <c r="E1" s="46"/>
      <c r="G1" s="46">
        <v>2</v>
      </c>
      <c r="H1" s="46"/>
      <c r="I1" s="46"/>
      <c r="K1" s="46">
        <v>3</v>
      </c>
      <c r="L1" s="46"/>
      <c r="N1" s="46">
        <v>4</v>
      </c>
      <c r="O1" s="46"/>
      <c r="P1" s="2"/>
      <c r="Q1" s="46">
        <v>5</v>
      </c>
      <c r="R1" s="46"/>
      <c r="T1" s="46">
        <v>6</v>
      </c>
      <c r="U1" s="46"/>
      <c r="W1" s="46">
        <v>7</v>
      </c>
      <c r="X1" s="46"/>
      <c r="Y1" s="46"/>
      <c r="AA1" s="46">
        <v>8</v>
      </c>
      <c r="AB1" s="46"/>
      <c r="AC1" s="46"/>
      <c r="AD1" s="46"/>
      <c r="AF1" s="46">
        <v>9</v>
      </c>
      <c r="AG1" s="46"/>
      <c r="AH1" s="46"/>
      <c r="AI1" s="46"/>
      <c r="AK1" s="46">
        <v>10</v>
      </c>
      <c r="AL1" s="46"/>
      <c r="AN1" s="46">
        <v>11</v>
      </c>
      <c r="AO1" s="46"/>
      <c r="AQ1" s="46">
        <v>12</v>
      </c>
      <c r="AR1" s="46"/>
      <c r="AT1" s="46">
        <v>14</v>
      </c>
      <c r="AU1" s="46"/>
      <c r="AV1" s="46"/>
    </row>
    <row r="2" spans="1:48" x14ac:dyDescent="0.25">
      <c r="A2" t="s">
        <v>1</v>
      </c>
      <c r="C2" s="3"/>
      <c r="D2" s="3" t="s">
        <v>14</v>
      </c>
      <c r="E2" s="3" t="s">
        <v>15</v>
      </c>
      <c r="G2" s="3"/>
      <c r="H2" s="3" t="s">
        <v>14</v>
      </c>
      <c r="I2" s="3" t="s">
        <v>15</v>
      </c>
      <c r="K2" s="3"/>
      <c r="L2" s="3"/>
      <c r="N2" s="3"/>
      <c r="O2" s="3"/>
      <c r="Q2" s="3"/>
      <c r="R2" s="3"/>
      <c r="T2" s="3"/>
      <c r="U2" s="3"/>
      <c r="W2" s="3"/>
      <c r="X2" s="3" t="s">
        <v>14</v>
      </c>
      <c r="Y2" s="3" t="s">
        <v>15</v>
      </c>
      <c r="AA2" s="3"/>
      <c r="AB2" s="3" t="s">
        <v>14</v>
      </c>
      <c r="AC2" s="3" t="s">
        <v>15</v>
      </c>
      <c r="AD2" s="5" t="s">
        <v>45</v>
      </c>
      <c r="AF2" s="3"/>
      <c r="AG2" s="3" t="s">
        <v>14</v>
      </c>
      <c r="AH2" s="3" t="s">
        <v>15</v>
      </c>
      <c r="AI2" s="5" t="s">
        <v>45</v>
      </c>
      <c r="AK2" s="3"/>
      <c r="AL2" s="3"/>
      <c r="AN2" s="3"/>
      <c r="AO2" s="3"/>
      <c r="AQ2" s="3"/>
      <c r="AR2" s="3"/>
      <c r="AT2" s="3"/>
      <c r="AU2" s="3" t="s">
        <v>14</v>
      </c>
      <c r="AV2" s="3" t="s">
        <v>15</v>
      </c>
    </row>
    <row r="3" spans="1:48" x14ac:dyDescent="0.25">
      <c r="A3" s="1" t="s">
        <v>2</v>
      </c>
      <c r="C3" s="3" t="s">
        <v>31</v>
      </c>
      <c r="D3" s="3">
        <v>12</v>
      </c>
      <c r="E3" s="3">
        <v>15</v>
      </c>
      <c r="G3" s="3" t="s">
        <v>31</v>
      </c>
      <c r="H3" s="3">
        <v>10</v>
      </c>
      <c r="I3" s="3">
        <v>13</v>
      </c>
      <c r="K3" s="3" t="s">
        <v>30</v>
      </c>
      <c r="L3" s="3">
        <v>13</v>
      </c>
      <c r="N3" s="3" t="s">
        <v>32</v>
      </c>
      <c r="O3" s="3">
        <v>13</v>
      </c>
      <c r="Q3" s="3" t="s">
        <v>36</v>
      </c>
      <c r="R3" s="3">
        <v>13</v>
      </c>
      <c r="T3" s="3" t="s">
        <v>30</v>
      </c>
      <c r="U3" s="3">
        <v>8</v>
      </c>
      <c r="W3" s="3" t="s">
        <v>42</v>
      </c>
      <c r="X3" s="3">
        <v>20</v>
      </c>
      <c r="Y3" s="3">
        <v>26</v>
      </c>
      <c r="AA3" s="3" t="s">
        <v>46</v>
      </c>
      <c r="AB3" s="3">
        <v>10</v>
      </c>
      <c r="AC3" s="3">
        <v>13</v>
      </c>
      <c r="AD3" s="3">
        <v>13</v>
      </c>
      <c r="AF3" s="3" t="s">
        <v>42</v>
      </c>
      <c r="AG3" s="3">
        <v>17</v>
      </c>
      <c r="AH3" s="3">
        <v>21</v>
      </c>
      <c r="AI3" s="3">
        <v>21</v>
      </c>
      <c r="AK3" s="3" t="s">
        <v>50</v>
      </c>
      <c r="AL3" s="3">
        <v>13</v>
      </c>
      <c r="AN3" s="3" t="s">
        <v>30</v>
      </c>
      <c r="AO3" s="3">
        <v>13</v>
      </c>
      <c r="AQ3" s="3" t="s">
        <v>30</v>
      </c>
      <c r="AR3" s="3">
        <v>13</v>
      </c>
      <c r="AT3" s="3" t="s">
        <v>30</v>
      </c>
      <c r="AU3" s="3">
        <v>12</v>
      </c>
      <c r="AV3" s="3">
        <v>18</v>
      </c>
    </row>
    <row r="4" spans="1:48" x14ac:dyDescent="0.25">
      <c r="A4" t="s">
        <v>3</v>
      </c>
      <c r="C4" s="4" t="s">
        <v>16</v>
      </c>
      <c r="D4" s="3">
        <v>17</v>
      </c>
      <c r="E4" s="3">
        <v>22</v>
      </c>
      <c r="G4" s="4" t="s">
        <v>23</v>
      </c>
      <c r="H4" s="3">
        <v>16</v>
      </c>
      <c r="I4" s="3">
        <v>21</v>
      </c>
      <c r="K4" s="3" t="s">
        <v>26</v>
      </c>
      <c r="L4" s="3">
        <v>24</v>
      </c>
      <c r="N4" s="4" t="s">
        <v>33</v>
      </c>
      <c r="O4" s="3">
        <v>23</v>
      </c>
      <c r="Q4" s="4" t="s">
        <v>39</v>
      </c>
      <c r="R4" s="3">
        <v>23</v>
      </c>
      <c r="T4" s="4" t="s">
        <v>40</v>
      </c>
      <c r="U4" s="3">
        <v>16</v>
      </c>
      <c r="W4" s="4" t="s">
        <v>43</v>
      </c>
      <c r="X4" s="3">
        <v>27</v>
      </c>
      <c r="Y4" s="3">
        <v>36</v>
      </c>
      <c r="AA4" s="4" t="s">
        <v>47</v>
      </c>
      <c r="AB4" s="3">
        <v>17</v>
      </c>
      <c r="AC4" s="3">
        <v>21</v>
      </c>
      <c r="AD4" s="3">
        <v>21</v>
      </c>
      <c r="AF4" s="4" t="s">
        <v>43</v>
      </c>
      <c r="AG4" s="3">
        <v>24</v>
      </c>
      <c r="AH4" s="3">
        <v>31</v>
      </c>
      <c r="AI4" s="3">
        <v>31</v>
      </c>
      <c r="AK4" s="4" t="s">
        <v>51</v>
      </c>
      <c r="AL4" s="3">
        <v>23</v>
      </c>
      <c r="AN4" s="4" t="s">
        <v>53</v>
      </c>
      <c r="AO4" s="3">
        <v>23</v>
      </c>
      <c r="AQ4" s="4" t="s">
        <v>53</v>
      </c>
      <c r="AR4" s="3">
        <v>22</v>
      </c>
      <c r="AT4" s="4" t="s">
        <v>53</v>
      </c>
      <c r="AU4" s="3">
        <v>22</v>
      </c>
      <c r="AV4" s="3">
        <v>30</v>
      </c>
    </row>
    <row r="5" spans="1:48" x14ac:dyDescent="0.25">
      <c r="A5" t="s">
        <v>4</v>
      </c>
      <c r="C5" s="3" t="s">
        <v>17</v>
      </c>
      <c r="D5" s="3">
        <v>20</v>
      </c>
      <c r="E5" s="3">
        <v>26</v>
      </c>
      <c r="G5" s="3" t="s">
        <v>24</v>
      </c>
      <c r="H5" s="3">
        <v>23</v>
      </c>
      <c r="I5" s="3">
        <v>29</v>
      </c>
      <c r="K5" s="3" t="s">
        <v>27</v>
      </c>
      <c r="L5" s="3">
        <v>27</v>
      </c>
      <c r="N5" s="3" t="s">
        <v>34</v>
      </c>
      <c r="O5" s="3">
        <v>27</v>
      </c>
      <c r="Q5" s="3" t="s">
        <v>38</v>
      </c>
      <c r="R5" s="3">
        <v>26</v>
      </c>
      <c r="T5" s="3" t="s">
        <v>41</v>
      </c>
      <c r="U5" s="3">
        <v>23</v>
      </c>
      <c r="W5" s="3" t="s">
        <v>44</v>
      </c>
      <c r="X5" s="3">
        <v>32</v>
      </c>
      <c r="Y5" s="3">
        <v>45</v>
      </c>
      <c r="AA5" s="3" t="s">
        <v>48</v>
      </c>
      <c r="AB5" s="3">
        <v>20</v>
      </c>
      <c r="AC5" s="3">
        <v>25</v>
      </c>
      <c r="AD5" s="3">
        <v>25</v>
      </c>
      <c r="AF5" s="3" t="s">
        <v>44</v>
      </c>
      <c r="AG5" s="3">
        <v>30</v>
      </c>
      <c r="AH5" s="3">
        <v>40</v>
      </c>
      <c r="AI5" s="3">
        <v>40</v>
      </c>
      <c r="AK5" s="3" t="s">
        <v>52</v>
      </c>
      <c r="AL5" s="3">
        <v>45</v>
      </c>
      <c r="AN5" s="3" t="s">
        <v>55</v>
      </c>
      <c r="AO5" s="3">
        <v>29</v>
      </c>
      <c r="AQ5" s="3" t="s">
        <v>54</v>
      </c>
      <c r="AR5" s="3">
        <v>26</v>
      </c>
      <c r="AT5" s="3" t="s">
        <v>56</v>
      </c>
      <c r="AU5" s="3">
        <v>27</v>
      </c>
      <c r="AV5" s="3">
        <v>34</v>
      </c>
    </row>
    <row r="6" spans="1:48" x14ac:dyDescent="0.25">
      <c r="A6" t="s">
        <v>5</v>
      </c>
      <c r="C6" s="3" t="s">
        <v>18</v>
      </c>
      <c r="D6" s="3">
        <v>23</v>
      </c>
      <c r="E6" s="3">
        <v>29</v>
      </c>
      <c r="G6" s="3" t="s">
        <v>25</v>
      </c>
      <c r="H6" s="3">
        <v>25</v>
      </c>
      <c r="I6" s="3">
        <v>34</v>
      </c>
      <c r="K6" s="3" t="s">
        <v>28</v>
      </c>
      <c r="L6" s="3">
        <v>31</v>
      </c>
      <c r="N6" s="3" t="s">
        <v>35</v>
      </c>
      <c r="O6" s="3">
        <v>30</v>
      </c>
      <c r="Q6" s="3" t="s">
        <v>37</v>
      </c>
      <c r="R6" s="3">
        <v>29</v>
      </c>
      <c r="T6" s="3" t="s">
        <v>25</v>
      </c>
      <c r="U6" s="3">
        <v>25</v>
      </c>
      <c r="AA6" s="3" t="s">
        <v>49</v>
      </c>
      <c r="AB6" s="3">
        <v>23</v>
      </c>
      <c r="AC6" s="3">
        <v>29</v>
      </c>
      <c r="AD6" s="3">
        <v>29</v>
      </c>
      <c r="AK6" s="3" t="s">
        <v>28</v>
      </c>
      <c r="AL6" s="3">
        <v>48</v>
      </c>
      <c r="AN6" s="3" t="s">
        <v>35</v>
      </c>
      <c r="AO6" s="3">
        <v>36</v>
      </c>
      <c r="AQ6" s="3" t="s">
        <v>37</v>
      </c>
      <c r="AR6" s="3">
        <v>33</v>
      </c>
      <c r="AT6" s="3" t="s">
        <v>20</v>
      </c>
      <c r="AU6" s="3">
        <v>32</v>
      </c>
      <c r="AV6" s="3">
        <v>42</v>
      </c>
    </row>
    <row r="7" spans="1:48" x14ac:dyDescent="0.25">
      <c r="A7" t="s">
        <v>6</v>
      </c>
      <c r="C7" s="3" t="s">
        <v>19</v>
      </c>
      <c r="D7" s="3">
        <v>25</v>
      </c>
      <c r="E7" s="3">
        <v>34</v>
      </c>
      <c r="G7" s="3" t="s">
        <v>20</v>
      </c>
      <c r="H7" s="3">
        <v>28</v>
      </c>
      <c r="I7" s="3">
        <v>41</v>
      </c>
      <c r="K7" s="3" t="s">
        <v>29</v>
      </c>
      <c r="L7" s="3">
        <v>34</v>
      </c>
      <c r="N7" s="3" t="s">
        <v>21</v>
      </c>
      <c r="O7" s="3">
        <v>33</v>
      </c>
      <c r="Q7" s="3" t="s">
        <v>21</v>
      </c>
      <c r="R7" s="3">
        <v>32</v>
      </c>
      <c r="T7" s="3" t="s">
        <v>20</v>
      </c>
      <c r="U7" s="3">
        <v>28</v>
      </c>
      <c r="AK7" s="3" t="s">
        <v>29</v>
      </c>
      <c r="AL7" s="3">
        <v>50</v>
      </c>
      <c r="AN7" s="3" t="s">
        <v>21</v>
      </c>
      <c r="AO7" s="3">
        <v>41</v>
      </c>
      <c r="AQ7" s="3" t="s">
        <v>21</v>
      </c>
      <c r="AR7" s="3">
        <v>38</v>
      </c>
      <c r="AT7" s="3" t="s">
        <v>21</v>
      </c>
      <c r="AU7" s="3">
        <v>37</v>
      </c>
      <c r="AV7" s="3">
        <v>48</v>
      </c>
    </row>
    <row r="8" spans="1:48" x14ac:dyDescent="0.25">
      <c r="A8" t="s">
        <v>7</v>
      </c>
      <c r="C8" s="3" t="s">
        <v>20</v>
      </c>
      <c r="D8" s="3">
        <v>28</v>
      </c>
      <c r="E8" s="3">
        <v>41</v>
      </c>
      <c r="G8" s="3" t="s">
        <v>21</v>
      </c>
      <c r="H8" s="3">
        <v>31</v>
      </c>
      <c r="I8" s="3">
        <v>45</v>
      </c>
      <c r="K8" s="3" t="s">
        <v>22</v>
      </c>
      <c r="L8" s="3">
        <v>36</v>
      </c>
      <c r="N8" s="3" t="s">
        <v>22</v>
      </c>
      <c r="O8" s="3">
        <v>35</v>
      </c>
      <c r="Q8" s="3" t="s">
        <v>22</v>
      </c>
      <c r="R8" s="3">
        <v>35</v>
      </c>
      <c r="T8" s="3" t="s">
        <v>21</v>
      </c>
      <c r="U8" s="3">
        <v>31</v>
      </c>
      <c r="AK8" s="3" t="s">
        <v>22</v>
      </c>
      <c r="AL8" s="3">
        <v>52</v>
      </c>
      <c r="AN8" s="3" t="s">
        <v>22</v>
      </c>
      <c r="AO8" s="5">
        <v>46</v>
      </c>
      <c r="AQ8" s="3" t="s">
        <v>22</v>
      </c>
      <c r="AR8" s="5">
        <v>43</v>
      </c>
      <c r="AT8" s="3" t="s">
        <v>22</v>
      </c>
      <c r="AU8" s="3">
        <v>42</v>
      </c>
      <c r="AV8" s="3">
        <v>53</v>
      </c>
    </row>
    <row r="9" spans="1:48" x14ac:dyDescent="0.25">
      <c r="A9" s="1" t="s">
        <v>8</v>
      </c>
      <c r="C9" s="3" t="s">
        <v>21</v>
      </c>
      <c r="D9" s="3">
        <v>31</v>
      </c>
      <c r="E9" s="3">
        <v>44</v>
      </c>
      <c r="G9" s="3" t="s">
        <v>22</v>
      </c>
      <c r="H9" s="3">
        <v>33</v>
      </c>
      <c r="I9" s="3">
        <v>48</v>
      </c>
      <c r="T9" s="3" t="s">
        <v>22</v>
      </c>
      <c r="U9" s="5">
        <v>33</v>
      </c>
    </row>
    <row r="10" spans="1:48" x14ac:dyDescent="0.25">
      <c r="A10" t="s">
        <v>9</v>
      </c>
      <c r="C10" s="3" t="s">
        <v>22</v>
      </c>
      <c r="D10" s="3">
        <v>33</v>
      </c>
      <c r="E10" s="3">
        <v>48</v>
      </c>
    </row>
    <row r="11" spans="1:48" x14ac:dyDescent="0.25">
      <c r="A11" t="s">
        <v>10</v>
      </c>
    </row>
    <row r="12" spans="1:48" x14ac:dyDescent="0.25">
      <c r="A12" t="s">
        <v>11</v>
      </c>
    </row>
    <row r="13" spans="1:48" x14ac:dyDescent="0.25">
      <c r="A13" t="s">
        <v>12</v>
      </c>
    </row>
    <row r="14" spans="1:48" x14ac:dyDescent="0.25">
      <c r="A14" s="1" t="s">
        <v>13</v>
      </c>
    </row>
    <row r="17" spans="1:37" x14ac:dyDescent="0.25">
      <c r="A17" t="s">
        <v>72</v>
      </c>
      <c r="C17" s="46">
        <v>1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Q17" s="46">
        <v>2</v>
      </c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E17" s="46">
        <v>3</v>
      </c>
      <c r="AF17" s="46"/>
      <c r="AG17" s="46"/>
      <c r="AH17" s="46"/>
      <c r="AI17" s="46"/>
      <c r="AJ17" s="46"/>
      <c r="AK17" s="46"/>
    </row>
    <row r="18" spans="1:37" x14ac:dyDescent="0.25">
      <c r="A18" t="s">
        <v>73</v>
      </c>
      <c r="C18" s="3"/>
      <c r="D18" s="3">
        <v>1</v>
      </c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  <c r="N18" s="3">
        <v>11</v>
      </c>
      <c r="O18" s="3">
        <v>12</v>
      </c>
      <c r="Q18" s="3"/>
      <c r="R18" s="3">
        <v>1</v>
      </c>
      <c r="S18" s="3">
        <v>2</v>
      </c>
      <c r="T18" s="3">
        <v>3</v>
      </c>
      <c r="U18" s="3">
        <v>4</v>
      </c>
      <c r="V18" s="3">
        <v>5</v>
      </c>
      <c r="W18" s="3">
        <v>6</v>
      </c>
      <c r="X18" s="3">
        <v>7</v>
      </c>
      <c r="Y18" s="3">
        <v>8</v>
      </c>
      <c r="Z18" s="3">
        <v>9</v>
      </c>
      <c r="AA18" s="3">
        <v>10</v>
      </c>
      <c r="AB18" s="3">
        <v>11</v>
      </c>
      <c r="AC18" s="3">
        <v>12</v>
      </c>
      <c r="AE18" s="3"/>
      <c r="AF18" s="3">
        <v>1</v>
      </c>
      <c r="AG18" s="3">
        <v>2</v>
      </c>
      <c r="AH18" s="3">
        <v>3</v>
      </c>
      <c r="AI18" s="3">
        <v>4</v>
      </c>
      <c r="AJ18" s="3">
        <v>5</v>
      </c>
      <c r="AK18" s="3">
        <v>6</v>
      </c>
    </row>
    <row r="19" spans="1:37" x14ac:dyDescent="0.25">
      <c r="A19" t="s">
        <v>74</v>
      </c>
      <c r="B19">
        <v>1</v>
      </c>
      <c r="C19" s="3" t="s">
        <v>76</v>
      </c>
      <c r="D19" s="3">
        <v>32.5</v>
      </c>
      <c r="E19" s="3">
        <v>60</v>
      </c>
      <c r="F19" s="3">
        <v>87.5</v>
      </c>
      <c r="G19" s="3">
        <v>115</v>
      </c>
      <c r="H19" s="3">
        <v>142.5</v>
      </c>
      <c r="I19" s="3">
        <v>170</v>
      </c>
      <c r="J19" s="3">
        <v>197.5</v>
      </c>
      <c r="K19" s="3">
        <v>225</v>
      </c>
      <c r="L19" s="3">
        <v>252.5</v>
      </c>
      <c r="M19" s="3">
        <v>280</v>
      </c>
      <c r="N19" s="3">
        <v>307.5</v>
      </c>
      <c r="O19" s="3">
        <v>335</v>
      </c>
      <c r="P19" s="17">
        <v>1</v>
      </c>
      <c r="Q19" s="3" t="s">
        <v>81</v>
      </c>
      <c r="R19" s="3">
        <v>45</v>
      </c>
      <c r="S19" s="3">
        <v>85</v>
      </c>
      <c r="T19" s="3">
        <v>125</v>
      </c>
      <c r="U19" s="3">
        <v>165</v>
      </c>
      <c r="V19" s="3">
        <v>205</v>
      </c>
      <c r="W19" s="3">
        <v>245</v>
      </c>
      <c r="X19" s="3">
        <v>285</v>
      </c>
      <c r="Y19" s="3">
        <v>325</v>
      </c>
      <c r="Z19" s="3">
        <v>365</v>
      </c>
      <c r="AA19" s="3">
        <v>405</v>
      </c>
      <c r="AB19" s="3">
        <v>445</v>
      </c>
      <c r="AC19" s="3">
        <v>485</v>
      </c>
      <c r="AD19" s="17">
        <v>1</v>
      </c>
      <c r="AE19" s="3" t="s">
        <v>92</v>
      </c>
      <c r="AF19" s="3">
        <v>112.5</v>
      </c>
      <c r="AG19" s="3">
        <v>225</v>
      </c>
      <c r="AH19" s="3">
        <v>337.5</v>
      </c>
      <c r="AI19" s="3">
        <v>450</v>
      </c>
      <c r="AJ19" s="3">
        <v>562.5</v>
      </c>
      <c r="AK19" s="3">
        <v>675</v>
      </c>
    </row>
    <row r="20" spans="1:37" x14ac:dyDescent="0.25">
      <c r="A20" t="s">
        <v>75</v>
      </c>
      <c r="B20">
        <v>2</v>
      </c>
      <c r="C20" s="3" t="s">
        <v>77</v>
      </c>
      <c r="D20" s="3">
        <v>35</v>
      </c>
      <c r="E20" s="3">
        <v>65</v>
      </c>
      <c r="F20" s="3">
        <v>95</v>
      </c>
      <c r="G20" s="3">
        <v>125</v>
      </c>
      <c r="H20" s="3">
        <v>155</v>
      </c>
      <c r="I20" s="3">
        <v>185</v>
      </c>
      <c r="J20" s="3">
        <v>215</v>
      </c>
      <c r="K20" s="3">
        <v>245</v>
      </c>
      <c r="L20" s="3">
        <v>275</v>
      </c>
      <c r="M20" s="3">
        <v>305</v>
      </c>
      <c r="N20" s="3">
        <v>335</v>
      </c>
      <c r="O20" s="3">
        <v>365</v>
      </c>
      <c r="P20" s="17">
        <v>2</v>
      </c>
      <c r="Q20" s="3" t="s">
        <v>82</v>
      </c>
      <c r="R20" s="3">
        <v>47.5</v>
      </c>
      <c r="S20" s="3">
        <v>90</v>
      </c>
      <c r="T20" s="3">
        <v>132.5</v>
      </c>
      <c r="U20" s="3">
        <v>175</v>
      </c>
      <c r="V20" s="3">
        <v>217.5</v>
      </c>
      <c r="W20" s="3">
        <v>260</v>
      </c>
      <c r="X20" s="3">
        <v>302.5</v>
      </c>
      <c r="Y20" s="3">
        <v>345</v>
      </c>
      <c r="Z20" s="3">
        <v>387.5</v>
      </c>
      <c r="AA20" s="3">
        <v>430</v>
      </c>
      <c r="AB20" s="3">
        <v>472.5</v>
      </c>
      <c r="AC20" s="3">
        <v>515</v>
      </c>
      <c r="AD20" s="17">
        <v>2</v>
      </c>
      <c r="AE20" s="3" t="s">
        <v>93</v>
      </c>
      <c r="AF20" s="3">
        <v>115</v>
      </c>
      <c r="AG20" s="3">
        <v>230</v>
      </c>
      <c r="AH20" s="3">
        <v>345</v>
      </c>
      <c r="AI20" s="3">
        <v>460</v>
      </c>
      <c r="AJ20" s="3">
        <v>575</v>
      </c>
      <c r="AK20" s="3">
        <v>690</v>
      </c>
    </row>
    <row r="21" spans="1:37" x14ac:dyDescent="0.25">
      <c r="B21">
        <v>3</v>
      </c>
      <c r="C21" s="3" t="s">
        <v>78</v>
      </c>
      <c r="D21" s="3">
        <v>37.5</v>
      </c>
      <c r="E21" s="3">
        <v>70</v>
      </c>
      <c r="F21" s="3">
        <v>102.5</v>
      </c>
      <c r="G21" s="3">
        <v>135</v>
      </c>
      <c r="H21" s="3">
        <v>167.5</v>
      </c>
      <c r="I21" s="3">
        <v>200</v>
      </c>
      <c r="J21" s="3">
        <v>232.5</v>
      </c>
      <c r="K21" s="3">
        <v>265</v>
      </c>
      <c r="L21" s="3">
        <v>297.5</v>
      </c>
      <c r="M21" s="3">
        <v>330</v>
      </c>
      <c r="N21" s="3">
        <v>362.5</v>
      </c>
      <c r="O21" s="3">
        <v>395</v>
      </c>
      <c r="P21" s="17">
        <v>3</v>
      </c>
      <c r="Q21" s="3" t="s">
        <v>83</v>
      </c>
      <c r="R21" s="3">
        <v>50</v>
      </c>
      <c r="S21" s="3">
        <v>95</v>
      </c>
      <c r="T21" s="3">
        <v>140</v>
      </c>
      <c r="U21" s="3">
        <v>185</v>
      </c>
      <c r="V21" s="3">
        <v>230</v>
      </c>
      <c r="W21" s="3">
        <v>275</v>
      </c>
      <c r="X21" s="3">
        <v>320</v>
      </c>
      <c r="Y21" s="3">
        <v>365</v>
      </c>
      <c r="Z21" s="3">
        <v>410</v>
      </c>
      <c r="AA21" s="3">
        <v>455</v>
      </c>
      <c r="AB21" s="3">
        <v>500</v>
      </c>
      <c r="AC21" s="3">
        <v>545</v>
      </c>
      <c r="AD21" s="17">
        <v>3</v>
      </c>
      <c r="AE21" s="3" t="s">
        <v>94</v>
      </c>
      <c r="AF21" s="3">
        <v>117.5</v>
      </c>
      <c r="AG21" s="3">
        <v>235</v>
      </c>
      <c r="AH21" s="3">
        <v>352.5</v>
      </c>
      <c r="AI21" s="3">
        <v>470</v>
      </c>
      <c r="AJ21" s="3">
        <v>587.5</v>
      </c>
      <c r="AK21" s="3">
        <v>705</v>
      </c>
    </row>
    <row r="22" spans="1:37" x14ac:dyDescent="0.25">
      <c r="B22">
        <v>4</v>
      </c>
      <c r="C22" s="3" t="s">
        <v>79</v>
      </c>
      <c r="D22" s="3">
        <v>40</v>
      </c>
      <c r="E22" s="3">
        <v>75</v>
      </c>
      <c r="F22" s="3">
        <v>110</v>
      </c>
      <c r="G22" s="3">
        <v>145</v>
      </c>
      <c r="H22" s="3">
        <v>180</v>
      </c>
      <c r="I22" s="3">
        <v>215</v>
      </c>
      <c r="J22" s="3">
        <v>250</v>
      </c>
      <c r="K22" s="3">
        <v>285</v>
      </c>
      <c r="L22" s="3">
        <v>320</v>
      </c>
      <c r="M22" s="3">
        <v>355</v>
      </c>
      <c r="N22" s="3">
        <v>390</v>
      </c>
      <c r="O22" s="3">
        <v>425</v>
      </c>
      <c r="P22" s="17">
        <v>4</v>
      </c>
      <c r="Q22" s="3" t="s">
        <v>84</v>
      </c>
      <c r="R22" s="3">
        <v>52.5</v>
      </c>
      <c r="S22" s="3">
        <v>100</v>
      </c>
      <c r="T22" s="3">
        <v>147.5</v>
      </c>
      <c r="U22" s="3">
        <v>195</v>
      </c>
      <c r="V22" s="3">
        <v>242.5</v>
      </c>
      <c r="W22" s="3">
        <v>290</v>
      </c>
      <c r="X22" s="3">
        <v>337.5</v>
      </c>
      <c r="Y22" s="3">
        <v>385</v>
      </c>
      <c r="Z22" s="3">
        <v>432.5</v>
      </c>
      <c r="AA22" s="3">
        <v>480</v>
      </c>
      <c r="AB22" s="3">
        <v>527.5</v>
      </c>
      <c r="AC22" s="3">
        <v>575</v>
      </c>
      <c r="AD22" s="17">
        <v>4</v>
      </c>
      <c r="AE22" s="3" t="s">
        <v>95</v>
      </c>
      <c r="AF22" s="3">
        <v>120</v>
      </c>
      <c r="AG22" s="3">
        <v>240</v>
      </c>
      <c r="AH22" s="3">
        <v>360</v>
      </c>
      <c r="AI22" s="3">
        <v>480</v>
      </c>
      <c r="AJ22" s="3">
        <v>600</v>
      </c>
      <c r="AK22" s="3">
        <v>720</v>
      </c>
    </row>
    <row r="23" spans="1:37" x14ac:dyDescent="0.25">
      <c r="B23">
        <v>5</v>
      </c>
      <c r="C23" s="3" t="s">
        <v>80</v>
      </c>
      <c r="D23" s="3">
        <v>42.5</v>
      </c>
      <c r="E23" s="3">
        <v>80</v>
      </c>
      <c r="F23" s="3">
        <v>117.5</v>
      </c>
      <c r="G23" s="3">
        <v>155</v>
      </c>
      <c r="H23" s="3">
        <v>192.5</v>
      </c>
      <c r="I23" s="3">
        <v>230</v>
      </c>
      <c r="J23" s="3">
        <v>267.5</v>
      </c>
      <c r="K23" s="3">
        <v>305</v>
      </c>
      <c r="L23" s="3">
        <v>342.5</v>
      </c>
      <c r="M23" s="3">
        <v>380</v>
      </c>
      <c r="N23" s="3">
        <v>417.5</v>
      </c>
      <c r="O23" s="3">
        <v>455</v>
      </c>
      <c r="P23" s="17">
        <v>5</v>
      </c>
      <c r="Q23" s="3" t="s">
        <v>85</v>
      </c>
      <c r="R23" s="3">
        <v>55</v>
      </c>
      <c r="S23" s="3">
        <v>105</v>
      </c>
      <c r="T23" s="3">
        <v>155</v>
      </c>
      <c r="U23" s="3">
        <v>205</v>
      </c>
      <c r="V23" s="3">
        <v>255</v>
      </c>
      <c r="W23" s="3">
        <v>305</v>
      </c>
      <c r="X23" s="3">
        <v>355</v>
      </c>
      <c r="Y23" s="3">
        <v>405</v>
      </c>
      <c r="Z23" s="3">
        <v>455</v>
      </c>
      <c r="AA23" s="3">
        <v>505</v>
      </c>
      <c r="AB23" s="3">
        <v>555</v>
      </c>
      <c r="AC23" s="3">
        <v>605</v>
      </c>
      <c r="AD23" s="17">
        <v>5</v>
      </c>
      <c r="AE23" s="3" t="s">
        <v>96</v>
      </c>
      <c r="AF23" s="3">
        <v>122.5</v>
      </c>
      <c r="AG23" s="3">
        <v>245</v>
      </c>
      <c r="AH23" s="3">
        <v>367.5</v>
      </c>
      <c r="AI23" s="3">
        <v>490</v>
      </c>
      <c r="AJ23" s="3">
        <v>612.5</v>
      </c>
      <c r="AK23" s="3">
        <v>735</v>
      </c>
    </row>
    <row r="24" spans="1:37" x14ac:dyDescent="0.25">
      <c r="P24" s="18">
        <v>6</v>
      </c>
      <c r="Q24" s="3" t="s">
        <v>86</v>
      </c>
      <c r="R24" s="3">
        <v>57.5</v>
      </c>
      <c r="S24" s="3">
        <v>110</v>
      </c>
      <c r="T24" s="3">
        <v>162.5</v>
      </c>
      <c r="U24" s="3">
        <v>215</v>
      </c>
      <c r="V24" s="3">
        <v>267.5</v>
      </c>
      <c r="W24" s="3">
        <v>320</v>
      </c>
      <c r="X24" s="3">
        <v>372.5</v>
      </c>
      <c r="Y24" s="3">
        <v>425</v>
      </c>
      <c r="Z24" s="3">
        <v>477.5</v>
      </c>
      <c r="AA24" s="3">
        <v>530</v>
      </c>
      <c r="AB24" s="3">
        <v>582.5</v>
      </c>
      <c r="AC24" s="3">
        <v>635</v>
      </c>
    </row>
    <row r="25" spans="1:37" x14ac:dyDescent="0.25">
      <c r="P25" s="18">
        <v>7</v>
      </c>
      <c r="Q25" s="3" t="s">
        <v>87</v>
      </c>
      <c r="R25" s="3">
        <v>60</v>
      </c>
      <c r="S25" s="3">
        <v>115</v>
      </c>
      <c r="T25" s="3">
        <v>170</v>
      </c>
      <c r="U25" s="3">
        <v>225</v>
      </c>
      <c r="V25" s="3">
        <v>280</v>
      </c>
      <c r="W25" s="3">
        <v>335</v>
      </c>
      <c r="X25" s="3">
        <v>390</v>
      </c>
      <c r="Y25" s="3">
        <v>445</v>
      </c>
      <c r="Z25" s="3">
        <v>500</v>
      </c>
      <c r="AA25" s="3">
        <v>555</v>
      </c>
      <c r="AB25" s="3">
        <v>610</v>
      </c>
      <c r="AC25" s="3">
        <v>665</v>
      </c>
    </row>
    <row r="26" spans="1:37" x14ac:dyDescent="0.25">
      <c r="C26" t="s">
        <v>122</v>
      </c>
      <c r="P26" s="18">
        <v>8</v>
      </c>
      <c r="Q26" s="3" t="s">
        <v>88</v>
      </c>
      <c r="R26" s="3">
        <v>62.5</v>
      </c>
      <c r="S26" s="3">
        <v>120</v>
      </c>
      <c r="T26" s="3">
        <v>177.5</v>
      </c>
      <c r="U26" s="3">
        <v>235</v>
      </c>
      <c r="V26" s="3">
        <v>292.5</v>
      </c>
      <c r="W26" s="3">
        <v>350</v>
      </c>
      <c r="X26" s="3">
        <v>407.5</v>
      </c>
      <c r="Y26" s="3">
        <v>465</v>
      </c>
      <c r="Z26" s="3">
        <v>522.5</v>
      </c>
      <c r="AA26" s="3">
        <v>580</v>
      </c>
      <c r="AB26" s="3">
        <v>637.5</v>
      </c>
      <c r="AC26" s="3">
        <v>695</v>
      </c>
    </row>
    <row r="27" spans="1:37" x14ac:dyDescent="0.25">
      <c r="C27" t="s">
        <v>123</v>
      </c>
      <c r="P27" s="18">
        <v>9</v>
      </c>
      <c r="Q27" s="3" t="s">
        <v>89</v>
      </c>
      <c r="R27" s="3">
        <v>65</v>
      </c>
      <c r="S27" s="3">
        <v>125</v>
      </c>
      <c r="T27" s="3">
        <v>185</v>
      </c>
      <c r="U27" s="3">
        <v>245</v>
      </c>
      <c r="V27" s="3">
        <v>305</v>
      </c>
      <c r="W27" s="3">
        <v>365</v>
      </c>
      <c r="X27" s="3">
        <v>425</v>
      </c>
      <c r="Y27" s="3">
        <v>485</v>
      </c>
      <c r="Z27" s="3">
        <v>545</v>
      </c>
      <c r="AA27" s="3">
        <v>605</v>
      </c>
      <c r="AB27" s="3">
        <v>665</v>
      </c>
      <c r="AC27" s="3">
        <v>725</v>
      </c>
    </row>
    <row r="28" spans="1:37" x14ac:dyDescent="0.25">
      <c r="P28" s="18">
        <v>10</v>
      </c>
      <c r="Q28" s="3" t="s">
        <v>90</v>
      </c>
      <c r="R28" s="3">
        <v>67.5</v>
      </c>
      <c r="S28" s="3">
        <v>130</v>
      </c>
      <c r="T28" s="3">
        <v>192.5</v>
      </c>
      <c r="U28" s="3">
        <v>255</v>
      </c>
      <c r="V28" s="3">
        <v>317.5</v>
      </c>
      <c r="W28" s="3">
        <v>380</v>
      </c>
      <c r="X28" s="3">
        <v>442.5</v>
      </c>
      <c r="Y28" s="3">
        <v>505</v>
      </c>
      <c r="Z28" s="3">
        <v>567.5</v>
      </c>
      <c r="AA28" s="3">
        <v>630</v>
      </c>
      <c r="AB28" s="3">
        <v>692.5</v>
      </c>
      <c r="AC28" s="3">
        <v>755</v>
      </c>
    </row>
    <row r="29" spans="1:37" x14ac:dyDescent="0.25">
      <c r="P29" s="18">
        <v>11</v>
      </c>
      <c r="Q29" s="3" t="s">
        <v>91</v>
      </c>
      <c r="R29" s="3">
        <v>70</v>
      </c>
      <c r="S29" s="3">
        <v>135</v>
      </c>
      <c r="T29" s="3">
        <v>200</v>
      </c>
      <c r="U29" s="3">
        <v>265</v>
      </c>
      <c r="V29" s="3">
        <v>330</v>
      </c>
      <c r="W29" s="3">
        <v>395</v>
      </c>
      <c r="X29" s="3">
        <v>460</v>
      </c>
      <c r="Y29" s="3">
        <v>525</v>
      </c>
      <c r="Z29" s="3">
        <v>590</v>
      </c>
      <c r="AA29" s="3">
        <v>655</v>
      </c>
      <c r="AB29" s="3">
        <v>720</v>
      </c>
      <c r="AC29" s="3">
        <v>785</v>
      </c>
    </row>
    <row r="30" spans="1:37" x14ac:dyDescent="0.25">
      <c r="P30" s="18">
        <v>12</v>
      </c>
      <c r="Q30" s="3">
        <v>12</v>
      </c>
      <c r="R30" s="3">
        <v>72.5</v>
      </c>
      <c r="S30" s="3">
        <v>140</v>
      </c>
      <c r="T30" s="3">
        <v>207.5</v>
      </c>
      <c r="U30" s="3">
        <v>275</v>
      </c>
      <c r="V30" s="3">
        <v>342.5</v>
      </c>
      <c r="W30" s="3">
        <v>410</v>
      </c>
      <c r="X30" s="3">
        <v>477.5</v>
      </c>
      <c r="Y30" s="3">
        <v>545</v>
      </c>
      <c r="Z30" s="3">
        <v>612.5</v>
      </c>
      <c r="AA30" s="3">
        <v>680</v>
      </c>
      <c r="AB30" s="3">
        <v>747.5</v>
      </c>
      <c r="AC30" s="3">
        <v>815</v>
      </c>
    </row>
  </sheetData>
  <mergeCells count="16">
    <mergeCell ref="AK1:AL1"/>
    <mergeCell ref="AN1:AO1"/>
    <mergeCell ref="AQ1:AR1"/>
    <mergeCell ref="AT1:AV1"/>
    <mergeCell ref="C17:O17"/>
    <mergeCell ref="Q17:AC17"/>
    <mergeCell ref="AE17:AK17"/>
    <mergeCell ref="Q1:R1"/>
    <mergeCell ref="T1:U1"/>
    <mergeCell ref="W1:Y1"/>
    <mergeCell ref="AA1:AD1"/>
    <mergeCell ref="AF1:AI1"/>
    <mergeCell ref="C1:E1"/>
    <mergeCell ref="G1:I1"/>
    <mergeCell ref="K1:L1"/>
    <mergeCell ref="N1:O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4"/>
  <sheetViews>
    <sheetView tabSelected="1" workbookViewId="0">
      <selection activeCell="G18" sqref="G18"/>
    </sheetView>
  </sheetViews>
  <sheetFormatPr defaultRowHeight="15.75" x14ac:dyDescent="0.25"/>
  <cols>
    <col min="1" max="1" width="88" style="6" bestFit="1" customWidth="1"/>
    <col min="2" max="2" width="9.140625" style="6"/>
    <col min="3" max="3" width="17.7109375" style="6" customWidth="1"/>
    <col min="4" max="7" width="18.7109375" style="6" customWidth="1"/>
    <col min="8" max="16" width="9.140625" style="6"/>
    <col min="17" max="17" width="3" style="6" hidden="1" customWidth="1"/>
    <col min="18" max="19" width="11.28515625" style="6" hidden="1" customWidth="1"/>
    <col min="20" max="21" width="10.28515625" style="6" hidden="1" customWidth="1"/>
    <col min="22" max="22" width="9.42578125" style="6" hidden="1" customWidth="1"/>
    <col min="23" max="23" width="18" style="6" hidden="1" customWidth="1"/>
    <col min="24" max="24" width="19" style="6" hidden="1" customWidth="1"/>
    <col min="25" max="16384" width="9.140625" style="6"/>
  </cols>
  <sheetData>
    <row r="1" spans="1:24" ht="16.5" thickBot="1" x14ac:dyDescent="0.3">
      <c r="A1" s="8" t="s">
        <v>57</v>
      </c>
      <c r="B1" s="9"/>
      <c r="C1" s="9"/>
      <c r="D1" s="10">
        <f>R1</f>
        <v>0</v>
      </c>
      <c r="E1" s="10">
        <f t="shared" ref="E1:F1" si="0">S1</f>
        <v>0</v>
      </c>
      <c r="F1" s="10">
        <f t="shared" si="0"/>
        <v>0</v>
      </c>
      <c r="G1" s="9"/>
      <c r="H1" s="23"/>
      <c r="R1" s="6">
        <f>IF(A2=Data!A2,Data!D2,IF(A2=Data!A3,Data!H2,IF(A2=Data!A4,Data!L2,IF(A2=Data!A5,Data!O2,IF(A2=Data!A6,Data!R2,IF(A2=Data!A7,Data!U2,IF(A2=Data!A8,Data!X2,IF(A2=Data!A9,Data!AB2,IF(A2=Data!A10,Data!AG2,IF(A2=Data!A11,Data!AL2,IF(A2=Data!A12,Data!AO2,IF(A2=Data!A13,Data!AR2,IF(A2=Data!A14,Data!AU2,0)))))))))))))</f>
        <v>0</v>
      </c>
      <c r="S1" s="6">
        <f>IF(A2=Data!A2,Data!E2,IF(A2=Data!A3,Data!I2,IF(A2=Data!A4,Data!L2,IF(A2=Data!A5,Data!O2,IF(A2=Data!A6,Data!R2,IF(A2=Data!A7,Data!U2,IF(A2=Data!A8,Data!Y2,IF(A2=Data!A9,Data!AC2,IF(A2=Data!A10,Data!AH2,IF(A2=Data!A11,Data!AL2,IF(A2=Data!A12,Data!AO2,IF(A2=Data!A13,Data!AR2,IF(A2=Data!A14,Data!AV2,0)))))))))))))</f>
        <v>0</v>
      </c>
      <c r="T1" s="6">
        <f>IF(A2=Data!A9,Data!AD2,IF(A2=Data!A10,Data!AI2,0))</f>
        <v>0</v>
      </c>
      <c r="W1" s="6" t="s">
        <v>58</v>
      </c>
      <c r="X1" s="6" t="s">
        <v>66</v>
      </c>
    </row>
    <row r="2" spans="1:24" ht="16.5" thickBot="1" x14ac:dyDescent="0.3">
      <c r="A2" s="7"/>
      <c r="B2" s="9"/>
      <c r="C2" s="37" t="s">
        <v>58</v>
      </c>
      <c r="D2" s="9"/>
      <c r="E2" s="9"/>
      <c r="F2" s="9"/>
      <c r="G2" s="9"/>
      <c r="H2" s="23"/>
      <c r="Q2" s="6">
        <v>1</v>
      </c>
      <c r="R2" s="6" t="b">
        <f>IF($A$2=Data!A2,IF($D$4&lt;=8,Data!D3,IF($D$4&lt;=12,Data!D4,IF($D$4&lt;17,Data!D6,IF($D$4&lt;=20,Data!D7,IF($D$4&lt;=24,Data!D8,IF($D$4&lt;=27,Data!D9,IF($D$4&gt;27,Data!D10,0))))))))</f>
        <v>0</v>
      </c>
      <c r="S2" s="6" t="b">
        <f>IF($A$2=Data!A2,IF(E4&lt;=8,Data!E3,IF(E4&lt;=12,Data!E4,IF(E4&lt;17,Data!E6,IF(E4&lt;=20,Data!E7,IF(E4&lt;=24,Data!E8,IF(E4&lt;=27,Data!E9,IF(E4&gt;27,Data!E10,0))))))))</f>
        <v>0</v>
      </c>
      <c r="W2" s="6">
        <f>SUM(D2:F2)</f>
        <v>0</v>
      </c>
      <c r="X2" s="6">
        <v>22</v>
      </c>
    </row>
    <row r="3" spans="1:24" ht="16.5" thickBot="1" x14ac:dyDescent="0.3">
      <c r="A3" s="9"/>
      <c r="B3" s="9"/>
      <c r="C3" s="37" t="s">
        <v>59</v>
      </c>
      <c r="D3" s="9"/>
      <c r="E3" s="9"/>
      <c r="F3" s="9"/>
      <c r="G3" s="9"/>
      <c r="H3" s="23"/>
      <c r="Q3" s="6">
        <v>2</v>
      </c>
      <c r="R3" s="6" t="b">
        <f>IF($A$2=Data!$A$3,IF($D$4&lt;=8,Data!H3,IF($D$4&lt;=10,Data!H4,IF($D$4&lt;15,Data!H5,IF($D$4&lt;=20,Data!H6,IF($D$4&lt;=24,Data!H7,IF($D$4&lt;=27,Data!H8,IF($D$4&gt;27,Data!H9,0))))))))</f>
        <v>0</v>
      </c>
      <c r="S3" s="6" t="b">
        <f>IF($A$2=Data!$A$3,IF($E$4&lt;=8,Data!I3,IF($E$4&lt;=10,Data!I4,IF($E$4&lt;15,Data!I5,IF($E$4&lt;=20,Data!I6,IF($E$4&lt;=24,Data!I7,IF($E$4&lt;=27,Data!I8,IF($E$4&gt;27,Data!I9,0))))))))</f>
        <v>0</v>
      </c>
    </row>
    <row r="4" spans="1:24" x14ac:dyDescent="0.25">
      <c r="A4" s="50" t="s">
        <v>163</v>
      </c>
      <c r="B4" s="9"/>
      <c r="C4" s="37" t="s">
        <v>60</v>
      </c>
      <c r="D4" s="11" t="e">
        <f>D2/D3</f>
        <v>#DIV/0!</v>
      </c>
      <c r="E4" s="9" t="e">
        <f t="shared" ref="E4:F4" si="1">E2/E3</f>
        <v>#DIV/0!</v>
      </c>
      <c r="F4" s="9" t="e">
        <f t="shared" si="1"/>
        <v>#DIV/0!</v>
      </c>
      <c r="G4" s="9"/>
      <c r="H4" s="23"/>
      <c r="Q4" s="6">
        <v>3</v>
      </c>
      <c r="R4" s="6" t="b">
        <f>IF($A$2=Data!A4,IF($D$4&lt;=5,Data!L3,IF($D$4&lt;=9,Data!L4,IF($D$4&lt;=16,Data!L5,IF($D$4&lt;=23,Data!L6,IF($D$4&lt;=27,Data!L7,IF($D$4&gt;27,Data!L8,0)))))))</f>
        <v>0</v>
      </c>
      <c r="W4" s="6" t="s">
        <v>67</v>
      </c>
      <c r="X4" s="6">
        <f>IF(W2=0,0,IF(W2&lt;=150,X2-1,IF(W2&lt;=250,X2-2,IF(W2&lt;=550,X2-3,IF(W2&lt;=800,X2-4,IF(W2&gt;800,X2-5,X2))))))</f>
        <v>0</v>
      </c>
    </row>
    <row r="5" spans="1:24" x14ac:dyDescent="0.25">
      <c r="A5" s="51"/>
      <c r="B5" s="9"/>
      <c r="C5" s="37" t="s">
        <v>61</v>
      </c>
      <c r="D5" s="9">
        <f>R15</f>
        <v>0</v>
      </c>
      <c r="E5" s="9">
        <f t="shared" ref="E5:F5" si="2">S15</f>
        <v>0</v>
      </c>
      <c r="F5" s="9">
        <f t="shared" si="2"/>
        <v>0</v>
      </c>
      <c r="G5" s="9"/>
      <c r="H5" s="23"/>
      <c r="Q5" s="6">
        <v>4</v>
      </c>
      <c r="R5" s="6" t="b">
        <f>IF($A$2=Data!A5,IF($D$4&lt;=6,Data!O3,IF($D$4&lt;12,Data!O4,IF($D$4&lt;=18,Data!O5,IF($D$4&lt;=24,Data!O6,IF($D$4&lt;=27,Data!O7,IF($D$4&gt;27,Data!O8,0)))))))</f>
        <v>0</v>
      </c>
      <c r="W5" s="6" t="s">
        <v>68</v>
      </c>
      <c r="X5" s="6">
        <f>IF(W2=0,0,IF(W2&lt;=50,$X$2-1,IF(W2&lt;=150,$X$2-2,IF(W2&lt;=300,$X$2-3,IF(W2&lt;=500,$X$2-4,IF(W2&gt;500,$X$2-5,$X$2))))))</f>
        <v>0</v>
      </c>
    </row>
    <row r="6" spans="1:24" x14ac:dyDescent="0.25">
      <c r="A6" s="51"/>
      <c r="B6" s="9"/>
      <c r="C6" s="37" t="s">
        <v>62</v>
      </c>
      <c r="D6" s="9">
        <f>D5*D3</f>
        <v>0</v>
      </c>
      <c r="E6" s="9">
        <f t="shared" ref="E6:F6" si="3">E5*E3</f>
        <v>0</v>
      </c>
      <c r="F6" s="9">
        <f t="shared" si="3"/>
        <v>0</v>
      </c>
      <c r="G6" s="9"/>
      <c r="H6" s="23"/>
      <c r="Q6" s="6">
        <v>5</v>
      </c>
      <c r="R6" s="6" t="b">
        <f>IF($A$2=Data!A6,IF($D$4&lt;=7,Data!R3,IF($D$4&lt;14,Data!R4,IF($D$4&lt;=19,Data!R5,IF($D$4&lt;=24,Data!R6,IF($D$4&lt;=27,Data!R7,IF($D$4&gt;27,Data!R8,0)))))))</f>
        <v>0</v>
      </c>
    </row>
    <row r="7" spans="1:24" x14ac:dyDescent="0.25">
      <c r="A7" s="51"/>
      <c r="B7" s="9"/>
      <c r="C7" s="37" t="s">
        <v>148</v>
      </c>
      <c r="D7" s="9">
        <f>SUM(D6:E6)</f>
        <v>0</v>
      </c>
      <c r="E7" s="9"/>
      <c r="F7" s="9"/>
      <c r="G7" s="9"/>
      <c r="H7" s="23"/>
      <c r="Q7" s="6">
        <v>6</v>
      </c>
      <c r="R7" s="6" t="b">
        <f>IF($A$2=Data!A7,IF($D$4&lt;=5,Data!U3,IF($D$4&lt;=10,Data!U4,IF($D$4&lt;15,Data!U5,IF($D$4&lt;=20,Data!U6,IF($D$4&lt;=24,Data!U7,IF($D$4&lt;=27,Data!U8,IF($D$4&gt;27,Data!U9,0))))))))</f>
        <v>0</v>
      </c>
    </row>
    <row r="8" spans="1:24" x14ac:dyDescent="0.25">
      <c r="A8" s="51"/>
      <c r="B8" s="9"/>
      <c r="C8" s="9"/>
      <c r="D8" s="9"/>
      <c r="E8" s="9"/>
      <c r="F8" s="9"/>
      <c r="G8" s="9"/>
      <c r="H8" s="23"/>
      <c r="Q8" s="6">
        <v>7</v>
      </c>
      <c r="R8" s="6" t="b">
        <f>IF($A$2=Data!$A$8,IF($D$4&lt;6,Data!X3,IF($D$4&lt;=10,Data!X4,IF($D$4&gt;10,Data!X5,0))))</f>
        <v>0</v>
      </c>
      <c r="S8" s="6" t="b">
        <f>IF($A$2=Data!$A$8,IF($E$4&lt;6,Data!Y3,IF($E$4&lt;=10,Data!Y4,IF($E$4&gt;10,Data!Y5,0))))</f>
        <v>0</v>
      </c>
    </row>
    <row r="9" spans="1:24" ht="16.5" thickBot="1" x14ac:dyDescent="0.3">
      <c r="A9" s="52"/>
      <c r="B9" s="12"/>
      <c r="C9" s="12"/>
      <c r="D9" s="12"/>
      <c r="E9" s="9"/>
      <c r="F9" s="9"/>
      <c r="G9" s="9"/>
      <c r="H9" s="23"/>
      <c r="Q9" s="6">
        <v>8</v>
      </c>
      <c r="R9" s="6" t="b">
        <f>IF($A$2=Data!$A$9,IF($D$4&lt;=3,Data!AB3,IF($D$4&gt;6,Data!AB4,IF($D$4&lt;10,Data!AB5,IF($D$4&gt;=10,Data!AB6,0)))))</f>
        <v>0</v>
      </c>
      <c r="S9" s="6" t="b">
        <f>IF($A$2=Data!$A$9,IF($E$4&lt;=3,Data!AC3,IF($E$4&gt;6,Data!AC4,IF($E$4&lt;10,Data!AC5,IF($E$4&gt;=10,Data!AC6,0)))))</f>
        <v>0</v>
      </c>
      <c r="T9" s="6" t="b">
        <f>IF($A$2=Data!$A$9,IF($F$4&lt;=3,Data!AD3,IF($F$4&gt;6,Data!AD4,IF($F$4&lt;10,Data!AD5,IF($F$4&gt;=10,Data!AD6,0)))))</f>
        <v>0</v>
      </c>
    </row>
    <row r="10" spans="1:24" x14ac:dyDescent="0.25">
      <c r="A10" s="9"/>
      <c r="B10" s="12"/>
      <c r="C10" s="12"/>
      <c r="D10" s="12"/>
      <c r="E10" s="9"/>
      <c r="F10" s="9"/>
      <c r="G10" s="9"/>
      <c r="H10" s="23"/>
      <c r="Q10" s="6">
        <v>9</v>
      </c>
      <c r="R10" s="6" t="b">
        <f>IF($A$2=Data!$A$10,IF($D$4&lt;6,Data!AG3,IF($D$4&lt;=10,Data!AG4,IF($D$4&gt;10,Data!AG5,0))))</f>
        <v>0</v>
      </c>
      <c r="S10" s="6" t="b">
        <f>IF($A$2=Data!$A$10,IF($E$4&lt;6,Data!AH3,IF($E$4&lt;=10,Data!AH4,IF($E$4&gt;10,Data!AH5,0))))</f>
        <v>0</v>
      </c>
      <c r="T10" s="6" t="b">
        <f>IF($A$2=Data!$A$10,IF($F$4&lt;6,Data!AI3,IF($F$4&lt;=10,Data!AI4,IF($F$4&gt;10,Data!AI5,0))))</f>
        <v>0</v>
      </c>
    </row>
    <row r="11" spans="1:24" x14ac:dyDescent="0.25">
      <c r="A11" s="9"/>
      <c r="B11" s="12"/>
      <c r="C11" s="12"/>
      <c r="D11" s="12"/>
      <c r="E11" s="9"/>
      <c r="F11" s="9"/>
      <c r="G11" s="9"/>
      <c r="H11" s="23"/>
      <c r="Q11" s="6">
        <v>10</v>
      </c>
      <c r="R11" s="6" t="b">
        <f>IF($A$2=Data!A11,IF($D$4&lt;=4,Data!AL3,IF($D$4&lt;=7,Data!AL4,IF($D$4&lt;=16,Data!AL5,IF($D$4&lt;=23,Data!AL6,IF($D$4&lt;=27,Data!AL7,IF($D$4&gt;27,Data!AL8,0)))))))</f>
        <v>0</v>
      </c>
    </row>
    <row r="12" spans="1:24" x14ac:dyDescent="0.25">
      <c r="A12" s="9"/>
      <c r="B12" s="48" t="s">
        <v>64</v>
      </c>
      <c r="C12" s="48"/>
      <c r="D12" s="49"/>
      <c r="E12" s="37" t="s">
        <v>160</v>
      </c>
      <c r="F12" s="13" t="s">
        <v>161</v>
      </c>
      <c r="G12" s="24" t="s">
        <v>162</v>
      </c>
      <c r="H12" s="23"/>
      <c r="Q12" s="6">
        <v>11</v>
      </c>
      <c r="R12" s="6" t="b">
        <f>IF($A$2=Data!A12,IF($D$4&lt;=5,Data!AO3,IF($D$4&lt;10,Data!AO4,IF($D$4&lt;=18,Data!AO5,IF($D$4&lt;=24,Data!AO6,IF($D$4&lt;=27,Data!AO7,IF($D$4&gt;27,Data!AO8,0)))))))</f>
        <v>0</v>
      </c>
    </row>
    <row r="13" spans="1:24" x14ac:dyDescent="0.25">
      <c r="A13" s="9"/>
      <c r="B13" s="14"/>
      <c r="C13" s="14"/>
      <c r="D13" s="42" t="s">
        <v>65</v>
      </c>
      <c r="E13" s="37"/>
      <c r="F13" s="24"/>
      <c r="G13" s="24">
        <v>0</v>
      </c>
      <c r="H13" s="23"/>
      <c r="Q13" s="6">
        <v>12</v>
      </c>
      <c r="R13" s="6" t="b">
        <f>IF($A$2=Data!A13,IF($D$4&lt;=5,Data!AR3,IF($D$4&lt;10,Data!AR4,IF($D$4&lt;=19,Data!AR5,IF($D$4&lt;=24,Data!AR6,IF($D$4&lt;=27,Data!AR7,IF($D$4&gt;27,Data!AR8,0)))))))</f>
        <v>0</v>
      </c>
    </row>
    <row r="14" spans="1:24" x14ac:dyDescent="0.25">
      <c r="A14" s="9"/>
      <c r="B14" s="14"/>
      <c r="C14" s="14"/>
      <c r="D14" s="42" t="s">
        <v>153</v>
      </c>
      <c r="E14" s="37"/>
      <c r="F14" s="24"/>
      <c r="G14" s="24">
        <f>IF(F14=0,0,IF(F14&lt;=14,11,IF(F14&lt;=22,9,IF(F14&gt;=23,7,0))))</f>
        <v>0</v>
      </c>
      <c r="H14" s="23"/>
      <c r="Q14" s="6">
        <v>13</v>
      </c>
      <c r="R14" s="6" t="b">
        <f>IF($A$2=Data!$A$14,IF($D$4&lt;=5,Data!AU3,IF($D$4&lt;10,Data!AU4,IF($D$4&lt;=20,Data!AU5,IF($D$4&lt;=24,Data!AU6,IF($D$4&lt;=27,Data!AU7,IF($D$4&gt;27,Data!AU8,0)))))))</f>
        <v>0</v>
      </c>
      <c r="S14" s="6" t="b">
        <f>IF($A$2=Data!$A$14,IF($E$4&lt;=5,Data!AV3,IF($E$4&lt;10,Data!AV4,IF($E$4&lt;=20,Data!AV5,IF($E$4&lt;=24,Data!AV6,IF($E$4&lt;=27,Data!AV7,IF($E$4&gt;27,Data!AV8,0)))))))</f>
        <v>0</v>
      </c>
    </row>
    <row r="15" spans="1:24" x14ac:dyDescent="0.25">
      <c r="A15" s="9"/>
      <c r="B15" s="14"/>
      <c r="C15" s="14"/>
      <c r="D15" s="42" t="s">
        <v>154</v>
      </c>
      <c r="E15" s="37"/>
      <c r="F15" s="24"/>
      <c r="G15" s="24">
        <f>IF(F15=0,0,IF(F15&lt;=14,11,IF(F15&lt;=22,9,IF(F15&gt;=23,7,0))))</f>
        <v>0</v>
      </c>
      <c r="H15" s="23"/>
      <c r="R15" s="6">
        <f>SUMIF(R2:R14,"&gt;0")</f>
        <v>0</v>
      </c>
      <c r="S15" s="6">
        <f>SUMIF(S2:S14,"&gt;0")</f>
        <v>0</v>
      </c>
      <c r="T15" s="6">
        <f>SUMIF(T2:T14,"&gt;0")</f>
        <v>0</v>
      </c>
    </row>
    <row r="16" spans="1:24" x14ac:dyDescent="0.25">
      <c r="A16" s="9"/>
      <c r="B16" s="14"/>
      <c r="C16" s="14"/>
      <c r="D16" s="42" t="s">
        <v>155</v>
      </c>
      <c r="E16" s="38"/>
      <c r="F16" s="24"/>
      <c r="G16" s="24">
        <f>IF(F16=0,0,IF(F16&lt;=150,$X$2-1,IF(F16&lt;=250,$X$2-2,IF(F16&lt;=550,$X$2-3,IF(F16&lt;=800,$X$2-4,IF(F16&gt;800,$X$2-5,$X$2))))))</f>
        <v>0</v>
      </c>
      <c r="H16" s="23"/>
    </row>
    <row r="17" spans="1:18" x14ac:dyDescent="0.25">
      <c r="A17" s="9"/>
      <c r="B17" s="14"/>
      <c r="C17" s="14"/>
      <c r="D17" s="43" t="s">
        <v>156</v>
      </c>
      <c r="E17" s="41"/>
      <c r="F17" s="24"/>
      <c r="G17" s="24">
        <f>IF(F17=0,0,IF(F17&lt;=150,$X$2-1,IF(F17&lt;=250,$X$2-2,IF(F17&lt;=550,$X$2-3,IF(F17&lt;=800,$X$2-4,IF(F17&gt;800,$X$2-5,$X$2))))))</f>
        <v>0</v>
      </c>
      <c r="H17" s="23"/>
      <c r="R17" s="6">
        <f>IF(G13&gt;0,1,0)</f>
        <v>0</v>
      </c>
    </row>
    <row r="18" spans="1:18" x14ac:dyDescent="0.25">
      <c r="A18" s="9"/>
      <c r="B18" s="14"/>
      <c r="C18" s="14"/>
      <c r="D18" s="42" t="s">
        <v>157</v>
      </c>
      <c r="E18" s="41"/>
      <c r="F18" s="24"/>
      <c r="G18" s="24">
        <f>IF(F18=0,0,IF(F18&lt;=50,$X$2-1,IF(F18&lt;=150,$X$2-2,IF(F18&lt;=300,$X$2-3,IF(F18&lt;=500,$X$2-4,IF(F18&gt;500,$X$2-5,$X$2))))))</f>
        <v>0</v>
      </c>
      <c r="H18" s="23"/>
      <c r="R18" s="22">
        <f t="shared" ref="R18:R23" si="4">IF(G14&gt;0,1,0)</f>
        <v>0</v>
      </c>
    </row>
    <row r="19" spans="1:18" x14ac:dyDescent="0.25">
      <c r="A19" s="9"/>
      <c r="B19" s="14"/>
      <c r="C19" s="14"/>
      <c r="D19" s="42" t="s">
        <v>158</v>
      </c>
      <c r="E19" s="41"/>
      <c r="F19" s="15"/>
      <c r="G19" s="24">
        <f>IF(F19=0,0,IF(F19&lt;=50,$X$2-1,IF(F19&lt;=150,$X$2-2,IF(F19&lt;=300,$X$2-3,IF(F19&lt;=500,$X$2-4,IF(F19&gt;500,$X$2-5,$X$2))))))</f>
        <v>0</v>
      </c>
      <c r="H19" s="23"/>
      <c r="R19" s="22">
        <f t="shared" si="4"/>
        <v>0</v>
      </c>
    </row>
    <row r="20" spans="1:18" x14ac:dyDescent="0.25">
      <c r="A20" s="9"/>
      <c r="B20" s="9"/>
      <c r="C20" s="9"/>
      <c r="D20" s="42" t="s">
        <v>159</v>
      </c>
      <c r="E20" s="41"/>
      <c r="F20" s="26"/>
      <c r="G20" s="24"/>
      <c r="H20" s="23"/>
      <c r="R20" s="22">
        <f t="shared" si="4"/>
        <v>0</v>
      </c>
    </row>
    <row r="21" spans="1:18" x14ac:dyDescent="0.25">
      <c r="A21" s="9"/>
      <c r="B21" s="9"/>
      <c r="C21" s="9"/>
      <c r="D21" s="42" t="s">
        <v>71</v>
      </c>
      <c r="E21" s="41">
        <f>SUM(G13:G19)+(F20*G20)</f>
        <v>0</v>
      </c>
      <c r="F21" s="9"/>
      <c r="G21" s="9"/>
      <c r="H21" s="23"/>
      <c r="R21" s="22">
        <f t="shared" si="4"/>
        <v>0</v>
      </c>
    </row>
    <row r="22" spans="1:18" x14ac:dyDescent="0.25">
      <c r="B22" s="9"/>
      <c r="C22" s="9"/>
      <c r="D22" s="43" t="s">
        <v>69</v>
      </c>
      <c r="E22" s="44">
        <f>SUM(R17:R23,F20)</f>
        <v>0</v>
      </c>
      <c r="F22" s="9"/>
      <c r="G22" s="9"/>
      <c r="H22" s="23"/>
      <c r="R22" s="22">
        <f t="shared" si="4"/>
        <v>0</v>
      </c>
    </row>
    <row r="23" spans="1:18" x14ac:dyDescent="0.25">
      <c r="A23" s="23"/>
      <c r="B23" s="23"/>
      <c r="C23" s="47" t="s">
        <v>70</v>
      </c>
      <c r="D23" s="47"/>
      <c r="E23" s="45">
        <f>(D7-E21)/X2</f>
        <v>0</v>
      </c>
      <c r="F23" s="23"/>
      <c r="G23" s="23"/>
      <c r="H23" s="23"/>
      <c r="R23" s="22">
        <f t="shared" si="4"/>
        <v>0</v>
      </c>
    </row>
    <row r="24" spans="1:18" x14ac:dyDescent="0.25">
      <c r="A24" s="23"/>
      <c r="B24" s="23"/>
      <c r="C24" s="23"/>
      <c r="D24" s="23"/>
      <c r="E24" s="23"/>
      <c r="F24" s="23"/>
      <c r="G24" s="23"/>
      <c r="H24" s="23"/>
    </row>
  </sheetData>
  <mergeCells count="3">
    <mergeCell ref="C23:D23"/>
    <mergeCell ref="B12:D12"/>
    <mergeCell ref="A4:A9"/>
  </mergeCells>
  <conditionalFormatting sqref="D1:F1">
    <cfRule type="cellIs" dxfId="291" priority="5" operator="notEqual">
      <formula>0</formula>
    </cfRule>
    <cfRule type="cellIs" dxfId="290" priority="7" operator="equal">
      <formula>0</formula>
    </cfRule>
  </conditionalFormatting>
  <conditionalFormatting sqref="D4:F4">
    <cfRule type="containsErrors" dxfId="289" priority="6">
      <formula>ISERROR(D4)</formula>
    </cfRule>
  </conditionalFormatting>
  <conditionalFormatting sqref="D5:F6">
    <cfRule type="cellIs" dxfId="288" priority="4" operator="notEqual">
      <formula>0</formula>
    </cfRule>
  </conditionalFormatting>
  <conditionalFormatting sqref="D2:F6">
    <cfRule type="cellIs" dxfId="287" priority="3" operator="equal">
      <formula>0</formula>
    </cfRule>
  </conditionalFormatting>
  <conditionalFormatting sqref="D7">
    <cfRule type="cellIs" dxfId="286" priority="1" operator="equal">
      <formula>0</formula>
    </cfRule>
  </conditionalFormatting>
  <conditionalFormatting sqref="D2:F7">
    <cfRule type="cellIs" dxfId="285" priority="2" operator="notEqual">
      <formula>0</formula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  <ignoredErrors>
    <ignoredError sqref="D4:F4" evalError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Data!$A$2:$A$15</xm:f>
          </x14:formula1>
          <xm:sqref>A2</xm:sqref>
        </x14:dataValidation>
        <x14:dataValidation type="list" allowBlank="1" showInputMessage="1" showErrorMessage="1">
          <x14:formula1>
            <xm:f>Data!$C$26:$C$28</xm:f>
          </x14:formula1>
          <xm:sqref>E13:E20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2"/>
  <sheetViews>
    <sheetView workbookViewId="0">
      <selection activeCell="G9" sqref="G9"/>
    </sheetView>
  </sheetViews>
  <sheetFormatPr defaultRowHeight="15.75" x14ac:dyDescent="0.25"/>
  <cols>
    <col min="1" max="1" width="9.140625" style="6"/>
    <col min="2" max="2" width="32.5703125" style="6" bestFit="1" customWidth="1"/>
    <col min="3" max="4" width="9.140625" style="6"/>
    <col min="5" max="5" width="31.42578125" style="6" bestFit="1" customWidth="1"/>
    <col min="6" max="13" width="13.7109375" style="6" customWidth="1"/>
    <col min="14" max="14" width="14.140625" style="6" bestFit="1" customWidth="1"/>
    <col min="15" max="15" width="14.140625" style="6" customWidth="1"/>
    <col min="16" max="16" width="21" style="6" bestFit="1" customWidth="1"/>
    <col min="17" max="35" width="9.140625" style="6"/>
    <col min="36" max="36" width="31.42578125" style="6" bestFit="1" customWidth="1"/>
    <col min="37" max="37" width="9.140625" style="6" bestFit="1" customWidth="1"/>
    <col min="38" max="38" width="13.5703125" style="6" bestFit="1" customWidth="1"/>
    <col min="39" max="40" width="16.5703125" style="6" bestFit="1" customWidth="1"/>
    <col min="41" max="16384" width="9.140625" style="6"/>
  </cols>
  <sheetData>
    <row r="1" spans="1:47" ht="16.5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47" ht="16.5" thickBot="1" x14ac:dyDescent="0.3">
      <c r="A2" s="9"/>
      <c r="B2" s="39" t="s">
        <v>97</v>
      </c>
      <c r="C2" s="19">
        <v>0</v>
      </c>
      <c r="D2" s="20"/>
      <c r="E2" s="14">
        <f>IF($C$2&gt;=1,AJ2,0)</f>
        <v>0</v>
      </c>
      <c r="F2" s="14">
        <f t="shared" ref="E2:F6" si="0">IF($C$2&gt;=1,AK2,0)</f>
        <v>0</v>
      </c>
      <c r="G2" s="14">
        <f t="shared" ref="G2" si="1">IF($C$2&gt;=1,AL2,0)</f>
        <v>0</v>
      </c>
      <c r="H2" s="14">
        <f t="shared" ref="H2" si="2">IF($C$2&gt;=1,AM2,0)</f>
        <v>0</v>
      </c>
      <c r="I2" s="14"/>
      <c r="J2" s="53">
        <f>IF($C$2&gt;=1,$AO$2,0)</f>
        <v>0</v>
      </c>
      <c r="K2" s="53"/>
      <c r="L2" s="53">
        <f>IF($C$2&gt;=1,$AQ$2,0)</f>
        <v>0</v>
      </c>
      <c r="M2" s="53"/>
      <c r="N2" s="14">
        <f>IF($C$2&gt;=1,$AS$2,0)</f>
        <v>0</v>
      </c>
      <c r="O2" s="25">
        <f>IF($C$2&gt;=1,$AT$2,0)</f>
        <v>0</v>
      </c>
      <c r="P2" s="25">
        <f>IF($C$2&gt;=1,$AU$2,0)</f>
        <v>0</v>
      </c>
      <c r="Q2" s="9"/>
      <c r="AJ2" s="6" t="s">
        <v>98</v>
      </c>
      <c r="AK2" s="6" t="s">
        <v>111</v>
      </c>
      <c r="AL2" s="6" t="s">
        <v>112</v>
      </c>
      <c r="AM2" s="6" t="s">
        <v>113</v>
      </c>
      <c r="AN2" s="6" t="s">
        <v>117</v>
      </c>
      <c r="AO2" s="6" t="s">
        <v>120</v>
      </c>
      <c r="AQ2" s="6" t="s">
        <v>152</v>
      </c>
      <c r="AS2" s="6" t="s">
        <v>124</v>
      </c>
      <c r="AT2" s="6" t="s">
        <v>125</v>
      </c>
      <c r="AU2" s="6" t="s">
        <v>121</v>
      </c>
    </row>
    <row r="3" spans="1:47" ht="16.5" thickBot="1" x14ac:dyDescent="0.3">
      <c r="A3" s="9"/>
      <c r="B3" s="40" t="s">
        <v>114</v>
      </c>
      <c r="C3" s="19">
        <v>0</v>
      </c>
      <c r="D3" s="9"/>
      <c r="E3" s="14">
        <f t="shared" si="0"/>
        <v>0</v>
      </c>
      <c r="F3" s="9">
        <v>0</v>
      </c>
      <c r="G3" s="9">
        <v>0</v>
      </c>
      <c r="H3" s="9" t="e">
        <f>AM3</f>
        <v>#DIV/0!</v>
      </c>
      <c r="I3" s="9"/>
      <c r="J3" s="9">
        <v>0</v>
      </c>
      <c r="K3" s="9">
        <f>IF(J3=0,0,IF(J3&lt;=2,20,IF(J3&lt;=4,15,IF(J3&lt;=6,12,IF(J3&lt;=10,9,IF(J3&gt;=11,6,0))))))</f>
        <v>0</v>
      </c>
      <c r="L3" s="23"/>
      <c r="M3" s="9">
        <f>IF(L3=0,0,IF(L3&lt;=3,25,IF(L3&lt;=6,20,IF(L3&gt;=7,17,0))))</f>
        <v>0</v>
      </c>
      <c r="N3" s="9">
        <f>SUM(M3,K3)</f>
        <v>0</v>
      </c>
      <c r="O3" s="9"/>
      <c r="P3" s="9"/>
      <c r="Q3" s="9"/>
      <c r="AJ3" s="6" t="s">
        <v>99</v>
      </c>
      <c r="AK3" s="6">
        <f>F3</f>
        <v>0</v>
      </c>
      <c r="AL3" s="6">
        <f>IF(G3=0,0,IF(G3&lt;7,1,IF(G3&lt;7.5,2,IF(G3&lt;8,3,IF(G3&lt;8.5,4,IF(G3&lt;9,5,IF(G3&lt;9.5,6,IF(G3&lt;10,7,IF(G3&lt;10.5,8,IF(G3&lt;11,9,IF(G3&lt;11.5,10,IF(G3&lt;12,11,IF(G3=12,12,0)))))))))))))</f>
        <v>0</v>
      </c>
      <c r="AM3" s="6" t="e">
        <f>IF(AL3=0,0,IF(AK3=0,0,VLOOKUP(AL3,Data!$P$19:$AC$30,AK3+2)))*AN3</f>
        <v>#DIV/0!</v>
      </c>
      <c r="AN3" s="6" t="e">
        <f>IF($C$5&lt;$C$6,$C$5/$C$6,1)</f>
        <v>#DIV/0!</v>
      </c>
    </row>
    <row r="4" spans="1:47" ht="16.5" thickBot="1" x14ac:dyDescent="0.3">
      <c r="A4" s="9"/>
      <c r="B4" s="40" t="s">
        <v>115</v>
      </c>
      <c r="C4" s="19">
        <v>0</v>
      </c>
      <c r="D4" s="9"/>
      <c r="E4" s="14">
        <f t="shared" si="0"/>
        <v>0</v>
      </c>
      <c r="F4" s="9"/>
      <c r="G4" s="9">
        <v>0</v>
      </c>
      <c r="H4" s="9" t="e">
        <f t="shared" ref="H4:H5" si="3">AM4</f>
        <v>#DIV/0!</v>
      </c>
      <c r="I4" s="9"/>
      <c r="J4" s="9"/>
      <c r="K4" s="9">
        <f>IF(J4=0,0,IF(J4&lt;=2,20,IF(J4&lt;=4,15,IF(J4&lt;=6,12,IF(J4&lt;=10,9,IF(J4&gt;=11,6,0))))))</f>
        <v>0</v>
      </c>
      <c r="L4" s="23"/>
      <c r="M4" s="23">
        <f>IF(L4=0,0,IF(L4&lt;=3,25,IF(L4&lt;=6,20,IF(L4&gt;=7,17,0))))</f>
        <v>0</v>
      </c>
      <c r="N4" s="9">
        <f t="shared" ref="N4:N5" si="4">SUM(M4,K4)</f>
        <v>0</v>
      </c>
      <c r="O4" s="9"/>
      <c r="P4" s="9"/>
      <c r="Q4" s="9"/>
      <c r="AJ4" s="6" t="s">
        <v>100</v>
      </c>
      <c r="AK4" s="6">
        <f t="shared" ref="AK4:AK5" si="5">F4</f>
        <v>0</v>
      </c>
      <c r="AL4" s="6">
        <f>IF(G4=0,0,IF(G4&lt;4.5,1,IF(G4&lt;5,2,IF(G4&lt;5.5,3,IF(G4&lt;6,4,IF(G4&lt;=6.5,5,0))))))</f>
        <v>0</v>
      </c>
      <c r="AM4" s="6" t="e">
        <f>IF(AL4=0,0,IF(AK4=0,0,VLOOKUP(AL4,Data!$B$19:$O$23,AK4+2)))*AN4</f>
        <v>#DIV/0!</v>
      </c>
      <c r="AN4" s="6" t="e">
        <f t="shared" ref="AN4:AN50" si="6">IF($C$5&lt;$C$6,$C$5/$C$6,1)</f>
        <v>#DIV/0!</v>
      </c>
    </row>
    <row r="5" spans="1:47" ht="16.5" thickBot="1" x14ac:dyDescent="0.3">
      <c r="A5" s="9"/>
      <c r="B5" s="40" t="s">
        <v>116</v>
      </c>
      <c r="C5" s="19" t="e">
        <f>C3/C4</f>
        <v>#DIV/0!</v>
      </c>
      <c r="D5" s="9"/>
      <c r="E5" s="14">
        <f t="shared" si="0"/>
        <v>0</v>
      </c>
      <c r="F5" s="9"/>
      <c r="G5" s="9">
        <v>0</v>
      </c>
      <c r="H5" s="9" t="e">
        <f t="shared" si="3"/>
        <v>#DIV/0!</v>
      </c>
      <c r="I5" s="9"/>
      <c r="J5" s="23"/>
      <c r="K5" s="9">
        <f>IF(J5=0,0,IF(J5=1,16,IF(J5=2,14,IF(J5&lt;=6,12,IF(J5&lt;=10,9,IF(J5&gt;=11,6,0))))))</f>
        <v>0</v>
      </c>
      <c r="L5" s="23"/>
      <c r="M5" s="9">
        <f>IF(L5=0,0,IF(L5&lt;=2,22,IF(L5&gt;=3,16,0)))</f>
        <v>0</v>
      </c>
      <c r="N5" s="9">
        <f t="shared" si="4"/>
        <v>0</v>
      </c>
      <c r="O5" s="9"/>
      <c r="P5" s="9"/>
      <c r="Q5" s="9"/>
      <c r="AJ5" s="6" t="s">
        <v>101</v>
      </c>
      <c r="AK5" s="6">
        <f t="shared" si="5"/>
        <v>0</v>
      </c>
      <c r="AL5" s="6">
        <f>IF(G5=0,0,IF(G5&lt;20.5,1,IF(G5&lt;21,2,IF(G5&lt;21.5,3,IF(G5&lt;22,4,IF(G5&gt;=22,5,0))))))</f>
        <v>0</v>
      </c>
      <c r="AM5" s="6" t="e">
        <f>IF(AL5=0,0,IF(AK5=0,0,VLOOKUP(AL5,Data!$AD$19:$AK$23,AK5+2)))*AN5</f>
        <v>#DIV/0!</v>
      </c>
      <c r="AN5" s="6" t="e">
        <f t="shared" si="6"/>
        <v>#DIV/0!</v>
      </c>
    </row>
    <row r="6" spans="1:47" ht="16.5" thickBot="1" x14ac:dyDescent="0.3">
      <c r="A6" s="9"/>
      <c r="B6" s="40" t="s">
        <v>118</v>
      </c>
      <c r="C6" s="19">
        <f>IF(C4=1,13,IF(C4=2,12.5,IF(C4&gt;=3,16,0)))</f>
        <v>0</v>
      </c>
      <c r="D6" s="9"/>
      <c r="E6" s="14">
        <f t="shared" si="0"/>
        <v>0</v>
      </c>
      <c r="F6" s="9">
        <f>AK6</f>
        <v>0</v>
      </c>
      <c r="G6" s="9">
        <v>0</v>
      </c>
      <c r="H6" s="9" t="e">
        <f t="shared" ref="H6" si="7">AM6</f>
        <v>#DIV/0!</v>
      </c>
      <c r="I6" s="9"/>
      <c r="J6" s="9"/>
      <c r="K6" s="9">
        <f>SUM(K3:K5)</f>
        <v>0</v>
      </c>
      <c r="L6" s="9"/>
      <c r="M6" s="9">
        <f>SUM(M3:M5)</f>
        <v>0</v>
      </c>
      <c r="N6" s="9">
        <f>SUM(N3:N5)</f>
        <v>0</v>
      </c>
      <c r="O6" s="9" t="e">
        <f>H6-N6</f>
        <v>#DIV/0!</v>
      </c>
      <c r="P6" s="9" t="e">
        <f>O6/31</f>
        <v>#DIV/0!</v>
      </c>
      <c r="Q6" s="9"/>
      <c r="AJ6" s="6" t="s">
        <v>63</v>
      </c>
      <c r="AK6" s="6">
        <f>SUM(AK3:AK5)</f>
        <v>0</v>
      </c>
      <c r="AL6" s="6">
        <f>SUM(AL3:AL5)</f>
        <v>0</v>
      </c>
      <c r="AM6" s="6" t="e">
        <f>SUM(AM3:AM5)</f>
        <v>#DIV/0!</v>
      </c>
    </row>
    <row r="7" spans="1:47" ht="16.5" thickBot="1" x14ac:dyDescent="0.3">
      <c r="A7" s="9"/>
      <c r="B7" s="40" t="s">
        <v>119</v>
      </c>
      <c r="C7" s="19" t="e">
        <f>SUM(H3:H5,H8:H10,H13:H15,H18:H20,H23:H25,H28:H30,H33:H35,H38:H40,H43:H45,H48:H50)</f>
        <v>#DIV/0!</v>
      </c>
      <c r="D7" s="9"/>
      <c r="E7" s="14">
        <f>IF($C$2&gt;=2,AJ7,0)</f>
        <v>0</v>
      </c>
      <c r="F7" s="14">
        <f t="shared" ref="F7:H7" si="8">IF($C$2&gt;=2,AK7,0)</f>
        <v>0</v>
      </c>
      <c r="G7" s="14">
        <f t="shared" si="8"/>
        <v>0</v>
      </c>
      <c r="H7" s="14">
        <f t="shared" si="8"/>
        <v>0</v>
      </c>
      <c r="I7" s="14"/>
      <c r="J7" s="53">
        <f>IF($C$2&gt;=2,$AO$2,0)</f>
        <v>0</v>
      </c>
      <c r="K7" s="53"/>
      <c r="L7" s="53">
        <f>IF($C$2&gt;=2,$AQ$2,0)</f>
        <v>0</v>
      </c>
      <c r="M7" s="53"/>
      <c r="N7" s="25">
        <f>IF($C$2&gt;=2,$AS$2,0)</f>
        <v>0</v>
      </c>
      <c r="O7" s="25">
        <f>IF($C$2&gt;=2,$AT$2,0)</f>
        <v>0</v>
      </c>
      <c r="P7" s="25">
        <f>IF($C$2&gt;=2,$AU$2,0)</f>
        <v>0</v>
      </c>
      <c r="Q7" s="9"/>
      <c r="AJ7" s="6" t="s">
        <v>102</v>
      </c>
      <c r="AK7" s="6" t="s">
        <v>111</v>
      </c>
      <c r="AL7" s="6" t="s">
        <v>112</v>
      </c>
      <c r="AM7" s="6" t="s">
        <v>113</v>
      </c>
    </row>
    <row r="8" spans="1:47" x14ac:dyDescent="0.25">
      <c r="A8" s="9"/>
      <c r="B8" s="9"/>
      <c r="C8" s="9"/>
      <c r="D8" s="9"/>
      <c r="E8" s="14">
        <f t="shared" ref="E8:E11" si="9">IF($C$2&gt;=2,AJ8,0)</f>
        <v>0</v>
      </c>
      <c r="F8" s="9">
        <v>0</v>
      </c>
      <c r="G8" s="9">
        <v>0</v>
      </c>
      <c r="H8" s="9" t="e">
        <f>AM8</f>
        <v>#DIV/0!</v>
      </c>
      <c r="I8" s="9"/>
      <c r="J8" s="23"/>
      <c r="K8" s="23">
        <f>IF(J8=0,0,IF(J8&lt;=2,20,IF(J8&lt;=4,15,IF(J8&lt;=6,12,IF(J8&lt;=10,9,IF(J8&gt;=11,6,0))))))</f>
        <v>0</v>
      </c>
      <c r="L8" s="23">
        <v>0</v>
      </c>
      <c r="M8" s="23">
        <f>IF(L8=0,0,IF(L8&lt;=3,25,IF(L8&lt;=6,20,IF(L8&gt;=7,17,0))))</f>
        <v>0</v>
      </c>
      <c r="N8" s="9">
        <f>SUM(M8,K8)</f>
        <v>0</v>
      </c>
      <c r="O8" s="9"/>
      <c r="P8" s="9"/>
      <c r="Q8" s="9"/>
      <c r="AJ8" s="6" t="s">
        <v>99</v>
      </c>
      <c r="AK8" s="6">
        <f>F8</f>
        <v>0</v>
      </c>
      <c r="AL8" s="6">
        <f>IF(G8=0,0,IF(G8&lt;7,1,IF(G8&lt;7.5,2,IF(G8&lt;8,3,IF(G8&lt;8.5,4,IF(G8&lt;9,5,IF(G8&lt;9.5,6,IF(G8&lt;10,7,IF(G8&lt;10.5,8,IF(G8&lt;11,9,IF(G8&lt;11.5,10,IF(G8&lt;12,11,IF(G8=12,12,0)))))))))))))</f>
        <v>0</v>
      </c>
      <c r="AM8" s="6" t="e">
        <f>IF(AL8=0,0,IF(AK8=0,0,VLOOKUP(AL8,Data!$P$19:$AC$30,AK8+2)))*AN8</f>
        <v>#DIV/0!</v>
      </c>
      <c r="AN8" s="6" t="e">
        <f t="shared" si="6"/>
        <v>#DIV/0!</v>
      </c>
    </row>
    <row r="9" spans="1:47" ht="16.5" thickBot="1" x14ac:dyDescent="0.3">
      <c r="A9" s="9"/>
      <c r="B9" s="9"/>
      <c r="C9" s="9"/>
      <c r="D9" s="9"/>
      <c r="E9" s="14">
        <f t="shared" si="9"/>
        <v>0</v>
      </c>
      <c r="F9" s="9">
        <v>0</v>
      </c>
      <c r="G9" s="9">
        <v>0</v>
      </c>
      <c r="H9" s="9" t="e">
        <f t="shared" ref="H9:H11" si="10">AM9</f>
        <v>#DIV/0!</v>
      </c>
      <c r="I9" s="9"/>
      <c r="J9" s="23"/>
      <c r="K9" s="23">
        <f>IF(J9=0,0,IF(J9&lt;=2,20,IF(J9&lt;=4,15,IF(J9&lt;=6,12,IF(J9&lt;=10,9,IF(J9&gt;=11,6,0))))))</f>
        <v>0</v>
      </c>
      <c r="L9" s="23"/>
      <c r="M9" s="23">
        <f>IF(L9=0,0,IF(L9&lt;=3,25,IF(L9&lt;=6,20,IF(L9&gt;=7,17,0))))</f>
        <v>0</v>
      </c>
      <c r="N9" s="9">
        <f t="shared" ref="N9:N10" si="11">SUM(M9,K9)</f>
        <v>0</v>
      </c>
      <c r="O9" s="9"/>
      <c r="P9" s="9"/>
      <c r="Q9" s="9"/>
      <c r="AJ9" s="6" t="s">
        <v>100</v>
      </c>
      <c r="AK9" s="6">
        <f t="shared" ref="AK9:AK10" si="12">F9</f>
        <v>0</v>
      </c>
      <c r="AL9" s="6">
        <f>IF(G9=0,0,IF(G9&lt;4.5,1,IF(G9&lt;5,2,IF(G9&lt;5.5,3,IF(G9&lt;6,4,IF(G9&lt;=6.5,5,0))))))</f>
        <v>0</v>
      </c>
      <c r="AM9" s="6" t="e">
        <f>IF(AL9=0,0,IF(AK9=0,0,VLOOKUP(AL9,Data!$B$19:$O$23,AK9+2)))*AN9</f>
        <v>#DIV/0!</v>
      </c>
      <c r="AN9" s="6" t="e">
        <f t="shared" si="6"/>
        <v>#DIV/0!</v>
      </c>
    </row>
    <row r="10" spans="1:47" x14ac:dyDescent="0.25">
      <c r="A10" s="9"/>
      <c r="B10" s="54" t="s">
        <v>164</v>
      </c>
      <c r="C10" s="55"/>
      <c r="D10" s="9"/>
      <c r="E10" s="14">
        <f t="shared" si="9"/>
        <v>0</v>
      </c>
      <c r="F10" s="9">
        <v>0</v>
      </c>
      <c r="G10" s="9">
        <v>0</v>
      </c>
      <c r="H10" s="9" t="e">
        <f t="shared" si="10"/>
        <v>#DIV/0!</v>
      </c>
      <c r="I10" s="9"/>
      <c r="J10" s="23"/>
      <c r="K10" s="23">
        <f>IF(J10=0,0,IF(J10=1,16,IF(J10=2,14,IF(J10&lt;=6,12,IF(J10&lt;=10,9,IF(J10&gt;=11,6,0))))))</f>
        <v>0</v>
      </c>
      <c r="L10" s="23"/>
      <c r="M10" s="23">
        <f>IF(L10=0,0,IF(L10&lt;=2,22,IF(L10&gt;=3,16,0)))</f>
        <v>0</v>
      </c>
      <c r="N10" s="9">
        <f t="shared" si="11"/>
        <v>0</v>
      </c>
      <c r="O10" s="9"/>
      <c r="P10" s="9"/>
      <c r="Q10" s="9"/>
      <c r="AJ10" s="6" t="s">
        <v>101</v>
      </c>
      <c r="AK10" s="6">
        <f t="shared" si="12"/>
        <v>0</v>
      </c>
      <c r="AL10" s="6">
        <f>IF(G10=0,0,IF(G10&lt;20.5,1,IF(G10&lt;21,2,IF(G10&lt;21.5,3,IF(G10&lt;22,4,IF(G10&gt;=22,5,0))))))</f>
        <v>0</v>
      </c>
      <c r="AM10" s="6" t="e">
        <f>IF(AL10=0,0,IF(AK10=0,0,VLOOKUP(AL10,Data!$AD$19:$AK$23,AK10+2)))*AN10</f>
        <v>#DIV/0!</v>
      </c>
      <c r="AN10" s="6" t="e">
        <f t="shared" si="6"/>
        <v>#DIV/0!</v>
      </c>
    </row>
    <row r="11" spans="1:47" x14ac:dyDescent="0.25">
      <c r="A11" s="9"/>
      <c r="B11" s="56"/>
      <c r="C11" s="57"/>
      <c r="D11" s="9"/>
      <c r="E11" s="14">
        <f t="shared" si="9"/>
        <v>0</v>
      </c>
      <c r="F11" s="9">
        <f>AK11</f>
        <v>0</v>
      </c>
      <c r="G11" s="9">
        <v>0</v>
      </c>
      <c r="H11" s="9" t="e">
        <f t="shared" si="10"/>
        <v>#DIV/0!</v>
      </c>
      <c r="I11" s="9"/>
      <c r="J11" s="9"/>
      <c r="K11" s="9">
        <f>SUM(K8:K10)</f>
        <v>0</v>
      </c>
      <c r="L11" s="9"/>
      <c r="M11" s="9">
        <f>SUM(M8:M10)</f>
        <v>0</v>
      </c>
      <c r="N11" s="9">
        <f>SUM(N8:N10)</f>
        <v>0</v>
      </c>
      <c r="O11" s="9" t="e">
        <f>H11-N11</f>
        <v>#DIV/0!</v>
      </c>
      <c r="P11" s="9" t="e">
        <f>O11/31</f>
        <v>#DIV/0!</v>
      </c>
      <c r="Q11" s="9"/>
      <c r="AJ11" s="6" t="s">
        <v>63</v>
      </c>
      <c r="AK11" s="6">
        <f>SUM(AK8:AK10)</f>
        <v>0</v>
      </c>
      <c r="AL11" s="6">
        <f>SUM(AL8:AL10)</f>
        <v>0</v>
      </c>
      <c r="AM11" s="6" t="e">
        <f>SUM(AM8:AM10)</f>
        <v>#DIV/0!</v>
      </c>
    </row>
    <row r="12" spans="1:47" x14ac:dyDescent="0.25">
      <c r="A12" s="9"/>
      <c r="B12" s="56"/>
      <c r="C12" s="57"/>
      <c r="D12" s="9"/>
      <c r="E12" s="14">
        <f>IF($C$2&gt;=3,AJ12,0)</f>
        <v>0</v>
      </c>
      <c r="F12" s="14">
        <f t="shared" ref="F12:H12" si="13">IF($C$2&gt;=3,AK12,0)</f>
        <v>0</v>
      </c>
      <c r="G12" s="14">
        <f t="shared" si="13"/>
        <v>0</v>
      </c>
      <c r="H12" s="14">
        <f t="shared" si="13"/>
        <v>0</v>
      </c>
      <c r="I12" s="14"/>
      <c r="J12" s="53">
        <f>IF($C$2&gt;=3,$AO$2,0)</f>
        <v>0</v>
      </c>
      <c r="K12" s="53"/>
      <c r="L12" s="53">
        <f>IF($C$2&gt;=3,$AQ$2,0)</f>
        <v>0</v>
      </c>
      <c r="M12" s="53"/>
      <c r="N12" s="25">
        <f>IF($C$2&gt;=3,$AS$2,0)</f>
        <v>0</v>
      </c>
      <c r="O12" s="25">
        <f>IF($C$2&gt;=3,$AT$2,0)</f>
        <v>0</v>
      </c>
      <c r="P12" s="25">
        <f>IF($C$2&gt;=3,$AU$2,0)</f>
        <v>0</v>
      </c>
      <c r="Q12" s="9"/>
      <c r="AJ12" s="6" t="s">
        <v>103</v>
      </c>
      <c r="AK12" s="6" t="s">
        <v>111</v>
      </c>
      <c r="AL12" s="6" t="s">
        <v>112</v>
      </c>
      <c r="AM12" s="6" t="s">
        <v>113</v>
      </c>
    </row>
    <row r="13" spans="1:47" x14ac:dyDescent="0.25">
      <c r="A13" s="9"/>
      <c r="B13" s="56"/>
      <c r="C13" s="57"/>
      <c r="D13" s="9"/>
      <c r="E13" s="14">
        <f t="shared" ref="E13:E16" si="14">IF($C$2&gt;=3,AJ13,0)</f>
        <v>0</v>
      </c>
      <c r="F13" s="9"/>
      <c r="G13" s="9">
        <v>0</v>
      </c>
      <c r="H13" s="9" t="e">
        <f>AM13</f>
        <v>#DIV/0!</v>
      </c>
      <c r="I13" s="9"/>
      <c r="J13" s="23"/>
      <c r="K13" s="23">
        <f>IF(J13=0,0,IF(J13&lt;=2,20,IF(J13&lt;=4,15,IF(J13&lt;=6,12,IF(J13&lt;=10,9,IF(J13&gt;=11,6,0))))))</f>
        <v>0</v>
      </c>
      <c r="L13" s="23"/>
      <c r="M13" s="23">
        <f>IF(L13=0,0,IF(L13&lt;=3,25,IF(L13&lt;=6,20,IF(L13&gt;=7,17,0))))</f>
        <v>0</v>
      </c>
      <c r="N13" s="9">
        <f>SUM(M13,K13)</f>
        <v>0</v>
      </c>
      <c r="O13" s="9"/>
      <c r="P13" s="9"/>
      <c r="Q13" s="9"/>
      <c r="AJ13" s="6" t="s">
        <v>99</v>
      </c>
      <c r="AK13" s="6">
        <f>F13</f>
        <v>0</v>
      </c>
      <c r="AL13" s="6">
        <f>IF(G13=0,0,IF(G13&lt;7,1,IF(G13&lt;7.5,2,IF(G13&lt;8,3,IF(G13&lt;8.5,4,IF(G13&lt;9,5,IF(G13&lt;9.5,6,IF(G13&lt;10,7,IF(G13&lt;10.5,8,IF(G13&lt;11,9,IF(G13&lt;11.5,10,IF(G13&lt;12,11,IF(G13=12,12,0)))))))))))))</f>
        <v>0</v>
      </c>
      <c r="AM13" s="6" t="e">
        <f>IF(AL13=0,0,IF(AK13=0,0,VLOOKUP(AL13,Data!$P$19:$AC$30,AK13+2)))*AN13</f>
        <v>#DIV/0!</v>
      </c>
      <c r="AN13" s="6" t="e">
        <f t="shared" si="6"/>
        <v>#DIV/0!</v>
      </c>
    </row>
    <row r="14" spans="1:47" x14ac:dyDescent="0.25">
      <c r="A14" s="9"/>
      <c r="B14" s="56"/>
      <c r="C14" s="57"/>
      <c r="D14" s="9"/>
      <c r="E14" s="14">
        <f t="shared" si="14"/>
        <v>0</v>
      </c>
      <c r="F14" s="9">
        <v>0</v>
      </c>
      <c r="G14" s="9">
        <v>0</v>
      </c>
      <c r="H14" s="9" t="e">
        <f t="shared" ref="H14:H16" si="15">AM14</f>
        <v>#DIV/0!</v>
      </c>
      <c r="I14" s="9"/>
      <c r="J14" s="23"/>
      <c r="K14" s="23">
        <f>IF(J14=0,0,IF(J14&lt;=2,20,IF(J14&lt;=4,15,IF(J14&lt;=6,12,IF(J14&lt;=10,9,IF(J14&gt;=11,6,0))))))</f>
        <v>0</v>
      </c>
      <c r="L14" s="23"/>
      <c r="M14" s="23">
        <f>IF(L14=0,0,IF(L14&lt;=3,25,IF(L14&lt;=6,20,IF(L14&gt;=7,17,0))))</f>
        <v>0</v>
      </c>
      <c r="N14" s="9">
        <f t="shared" ref="N14:N15" si="16">SUM(M14,K14)</f>
        <v>0</v>
      </c>
      <c r="O14" s="9"/>
      <c r="P14" s="9"/>
      <c r="Q14" s="9"/>
      <c r="AJ14" s="6" t="s">
        <v>100</v>
      </c>
      <c r="AK14" s="6">
        <f t="shared" ref="AK14:AK15" si="17">F14</f>
        <v>0</v>
      </c>
      <c r="AL14" s="6">
        <f>IF(G14=0,0,IF(G14&lt;4.5,1,IF(G14&lt;5,2,IF(G14&lt;5.5,3,IF(G14&lt;6,4,IF(G14&lt;=6.5,5,0))))))</f>
        <v>0</v>
      </c>
      <c r="AM14" s="6" t="e">
        <f>IF(AL14=0,0,IF(AK14=0,0,VLOOKUP(AL14,Data!$B$19:$O$23,AK14+2)))*AN14</f>
        <v>#DIV/0!</v>
      </c>
      <c r="AN14" s="6" t="e">
        <f t="shared" si="6"/>
        <v>#DIV/0!</v>
      </c>
    </row>
    <row r="15" spans="1:47" x14ac:dyDescent="0.25">
      <c r="A15" s="9"/>
      <c r="B15" s="56"/>
      <c r="C15" s="57"/>
      <c r="D15" s="9"/>
      <c r="E15" s="14">
        <f t="shared" si="14"/>
        <v>0</v>
      </c>
      <c r="F15" s="9">
        <v>0</v>
      </c>
      <c r="G15" s="9">
        <v>0</v>
      </c>
      <c r="H15" s="9" t="e">
        <f t="shared" si="15"/>
        <v>#DIV/0!</v>
      </c>
      <c r="I15" s="9"/>
      <c r="J15" s="23"/>
      <c r="K15" s="23">
        <f>IF(J15=0,0,IF(J15=1,16,IF(J15=2,14,IF(J15&lt;=6,12,IF(J15&lt;=10,9,IF(J15&gt;=11,6,0))))))</f>
        <v>0</v>
      </c>
      <c r="L15" s="23"/>
      <c r="M15" s="23">
        <f>IF(L15=0,0,IF(L15&lt;=2,22,IF(L15&gt;=3,16,0)))</f>
        <v>0</v>
      </c>
      <c r="N15" s="9">
        <f t="shared" si="16"/>
        <v>0</v>
      </c>
      <c r="O15" s="9"/>
      <c r="P15" s="9"/>
      <c r="Q15" s="9"/>
      <c r="AJ15" s="6" t="s">
        <v>101</v>
      </c>
      <c r="AK15" s="6">
        <f t="shared" si="17"/>
        <v>0</v>
      </c>
      <c r="AL15" s="6">
        <f>IF(G15=0,0,IF(G15&lt;20.5,1,IF(G15&lt;21,2,IF(G15&lt;21.5,3,IF(G15&lt;22,4,IF(G15&gt;=22,5,0))))))</f>
        <v>0</v>
      </c>
      <c r="AM15" s="6" t="e">
        <f>IF(AL15=0,0,IF(AK15=0,0,VLOOKUP(AL15,Data!$AD$19:$AK$23,AK15+2)))*AN15</f>
        <v>#DIV/0!</v>
      </c>
      <c r="AN15" s="6" t="e">
        <f t="shared" si="6"/>
        <v>#DIV/0!</v>
      </c>
    </row>
    <row r="16" spans="1:47" x14ac:dyDescent="0.25">
      <c r="A16" s="9"/>
      <c r="B16" s="56"/>
      <c r="C16" s="57"/>
      <c r="D16" s="9"/>
      <c r="E16" s="14">
        <f t="shared" si="14"/>
        <v>0</v>
      </c>
      <c r="F16" s="9">
        <f>AK16</f>
        <v>0</v>
      </c>
      <c r="G16" s="9">
        <f>AL16</f>
        <v>0</v>
      </c>
      <c r="H16" s="9" t="e">
        <f t="shared" si="15"/>
        <v>#DIV/0!</v>
      </c>
      <c r="I16" s="9"/>
      <c r="J16" s="9"/>
      <c r="K16" s="9">
        <f>SUM(K13:K15)</f>
        <v>0</v>
      </c>
      <c r="L16" s="9"/>
      <c r="M16" s="9">
        <f>SUM(M13:M15)</f>
        <v>0</v>
      </c>
      <c r="N16" s="9">
        <f>SUM(N13:N15)</f>
        <v>0</v>
      </c>
      <c r="O16" s="9" t="e">
        <f>H16-N16</f>
        <v>#DIV/0!</v>
      </c>
      <c r="P16" s="9" t="e">
        <f>O16/31</f>
        <v>#DIV/0!</v>
      </c>
      <c r="Q16" s="9"/>
      <c r="AJ16" s="6" t="s">
        <v>63</v>
      </c>
      <c r="AK16" s="6">
        <f>SUM(AK13:AK15)</f>
        <v>0</v>
      </c>
      <c r="AL16" s="6">
        <f>SUM(AL13:AL15)</f>
        <v>0</v>
      </c>
      <c r="AM16" s="6" t="e">
        <f>SUM(AM13:AM15)</f>
        <v>#DIV/0!</v>
      </c>
    </row>
    <row r="17" spans="1:40" x14ac:dyDescent="0.25">
      <c r="A17" s="9"/>
      <c r="B17" s="56"/>
      <c r="C17" s="57"/>
      <c r="D17" s="9"/>
      <c r="E17" s="14">
        <f>IF($C$2&gt;=4,AJ17,0)</f>
        <v>0</v>
      </c>
      <c r="F17" s="14">
        <f t="shared" ref="F17:H17" si="18">IF($C$2&gt;=4,AK17,0)</f>
        <v>0</v>
      </c>
      <c r="G17" s="14">
        <f t="shared" si="18"/>
        <v>0</v>
      </c>
      <c r="H17" s="14">
        <f t="shared" si="18"/>
        <v>0</v>
      </c>
      <c r="I17" s="14"/>
      <c r="J17" s="53">
        <f>IF($C$2&gt;=4,$AO$2,0)</f>
        <v>0</v>
      </c>
      <c r="K17" s="53"/>
      <c r="L17" s="53">
        <f>IF($C$2&gt;=4,$AQ$2,0)</f>
        <v>0</v>
      </c>
      <c r="M17" s="53"/>
      <c r="N17" s="25">
        <f>IF($C$2&gt;=4,$AS$2,0)</f>
        <v>0</v>
      </c>
      <c r="O17" s="25">
        <f>IF($C$2&gt;=4,$AT$2,0)</f>
        <v>0</v>
      </c>
      <c r="P17" s="25">
        <f>IF($C$2&gt;=4,$AU$2,0)</f>
        <v>0</v>
      </c>
      <c r="Q17" s="9"/>
      <c r="AJ17" s="6" t="s">
        <v>104</v>
      </c>
      <c r="AK17" s="6" t="s">
        <v>111</v>
      </c>
      <c r="AL17" s="6" t="s">
        <v>112</v>
      </c>
      <c r="AM17" s="6" t="s">
        <v>113</v>
      </c>
    </row>
    <row r="18" spans="1:40" x14ac:dyDescent="0.25">
      <c r="A18" s="9"/>
      <c r="B18" s="56"/>
      <c r="C18" s="57"/>
      <c r="D18" s="9"/>
      <c r="E18" s="14">
        <f t="shared" ref="E18:E21" si="19">IF($C$2&gt;=4,AJ18,0)</f>
        <v>0</v>
      </c>
      <c r="F18" s="9"/>
      <c r="G18" s="9">
        <v>0</v>
      </c>
      <c r="H18" s="9" t="e">
        <f>AM18</f>
        <v>#DIV/0!</v>
      </c>
      <c r="I18" s="9"/>
      <c r="J18" s="23"/>
      <c r="K18" s="23">
        <f>IF(J18=0,0,IF(J18&lt;=2,20,IF(J18&lt;=4,15,IF(J18&lt;=6,12,IF(J18&lt;=10,9,IF(J18&gt;=11,6,0))))))</f>
        <v>0</v>
      </c>
      <c r="L18" s="23"/>
      <c r="M18" s="23">
        <f>IF(L18=0,0,IF(L18&lt;=3,25,IF(L18&lt;=6,20,IF(L18&gt;=7,17,0))))</f>
        <v>0</v>
      </c>
      <c r="N18" s="9">
        <f>SUM(M18,K18)</f>
        <v>0</v>
      </c>
      <c r="O18" s="9"/>
      <c r="P18" s="9"/>
      <c r="Q18" s="9"/>
      <c r="AJ18" s="6" t="s">
        <v>99</v>
      </c>
      <c r="AK18" s="6">
        <f>F18</f>
        <v>0</v>
      </c>
      <c r="AL18" s="6">
        <f>IF(G18=0,0,IF(G18&lt;7,1,IF(G18&lt;7.5,2,IF(G18&lt;8,3,IF(G18&lt;8.5,4,IF(G18&lt;9,5,IF(G18&lt;9.5,6,IF(G18&lt;10,7,IF(G18&lt;10.5,8,IF(G18&lt;11,9,IF(G18&lt;11.5,10,IF(G18&lt;12,11,IF(G18=12,12,0)))))))))))))</f>
        <v>0</v>
      </c>
      <c r="AM18" s="6" t="e">
        <f>IF(AL18=0,0,IF(AK18=0,0,VLOOKUP(AL18,Data!$P$19:$AC$30,AK18+2)))*AN18</f>
        <v>#DIV/0!</v>
      </c>
      <c r="AN18" s="6" t="e">
        <f t="shared" si="6"/>
        <v>#DIV/0!</v>
      </c>
    </row>
    <row r="19" spans="1:40" x14ac:dyDescent="0.25">
      <c r="A19" s="9"/>
      <c r="B19" s="56"/>
      <c r="C19" s="57"/>
      <c r="D19" s="9"/>
      <c r="E19" s="14">
        <f t="shared" si="19"/>
        <v>0</v>
      </c>
      <c r="F19" s="9">
        <v>0</v>
      </c>
      <c r="G19" s="9">
        <v>0</v>
      </c>
      <c r="H19" s="9" t="e">
        <f t="shared" ref="H19:H21" si="20">AM19</f>
        <v>#DIV/0!</v>
      </c>
      <c r="I19" s="9"/>
      <c r="J19" s="23"/>
      <c r="K19" s="23">
        <f>IF(J19=0,0,IF(J19&lt;=2,20,IF(J19&lt;=4,15,IF(J19&lt;=6,12,IF(J19&lt;=10,9,IF(J19&gt;=11,6,0))))))</f>
        <v>0</v>
      </c>
      <c r="L19" s="23"/>
      <c r="M19" s="23">
        <f>IF(L19=0,0,IF(L19&lt;=3,25,IF(L19&lt;=6,20,IF(L19&gt;=7,17,0))))</f>
        <v>0</v>
      </c>
      <c r="N19" s="9">
        <f t="shared" ref="N19:N20" si="21">SUM(M19,K19)</f>
        <v>0</v>
      </c>
      <c r="O19" s="9"/>
      <c r="P19" s="9"/>
      <c r="Q19" s="9"/>
      <c r="AJ19" s="6" t="s">
        <v>100</v>
      </c>
      <c r="AK19" s="6">
        <f t="shared" ref="AK19:AK20" si="22">F19</f>
        <v>0</v>
      </c>
      <c r="AL19" s="6">
        <f>IF(G19=0,0,IF(G19&lt;4.5,1,IF(G19&lt;5,2,IF(G19&lt;5.5,3,IF(G19&lt;6,4,IF(G19&lt;=6.5,5,0))))))</f>
        <v>0</v>
      </c>
      <c r="AM19" s="6" t="e">
        <f>IF(AL19=0,0,IF(AK19=0,0,VLOOKUP(AL19,Data!$B$19:$O$23,AK19+2)))*AN19</f>
        <v>#DIV/0!</v>
      </c>
      <c r="AN19" s="6" t="e">
        <f t="shared" si="6"/>
        <v>#DIV/0!</v>
      </c>
    </row>
    <row r="20" spans="1:40" x14ac:dyDescent="0.25">
      <c r="A20" s="9"/>
      <c r="B20" s="56"/>
      <c r="C20" s="57"/>
      <c r="D20" s="9"/>
      <c r="E20" s="14">
        <f t="shared" si="19"/>
        <v>0</v>
      </c>
      <c r="F20" s="9">
        <v>0</v>
      </c>
      <c r="G20" s="9">
        <v>0</v>
      </c>
      <c r="H20" s="9" t="e">
        <f t="shared" si="20"/>
        <v>#DIV/0!</v>
      </c>
      <c r="I20" s="9"/>
      <c r="J20" s="23"/>
      <c r="K20" s="23">
        <f>IF(J20=0,0,IF(J20=1,16,IF(J20=2,14,IF(J20&lt;=6,12,IF(J20&lt;=10,9,IF(J20&gt;=11,6,0))))))</f>
        <v>0</v>
      </c>
      <c r="L20" s="23"/>
      <c r="M20" s="23">
        <f>IF(L20=0,0,IF(L20&lt;=2,22,IF(L20&gt;=3,16,0)))</f>
        <v>0</v>
      </c>
      <c r="N20" s="9">
        <f t="shared" si="21"/>
        <v>0</v>
      </c>
      <c r="O20" s="9"/>
      <c r="P20" s="9"/>
      <c r="Q20" s="9"/>
      <c r="AJ20" s="6" t="s">
        <v>101</v>
      </c>
      <c r="AK20" s="6">
        <f t="shared" si="22"/>
        <v>0</v>
      </c>
      <c r="AL20" s="6">
        <f>IF(G20=0,0,IF(G20&lt;20.5,1,IF(G20&lt;21,2,IF(G20&lt;21.5,3,IF(G20&lt;22,4,IF(G20&gt;=22,5,0))))))</f>
        <v>0</v>
      </c>
      <c r="AM20" s="6" t="e">
        <f>IF(AL20=0,0,IF(AK20=0,0,VLOOKUP(AL20,Data!$AD$19:$AK$23,AK20+2)))*AN20</f>
        <v>#DIV/0!</v>
      </c>
      <c r="AN20" s="6" t="e">
        <f t="shared" si="6"/>
        <v>#DIV/0!</v>
      </c>
    </row>
    <row r="21" spans="1:40" x14ac:dyDescent="0.25">
      <c r="A21" s="9"/>
      <c r="B21" s="56"/>
      <c r="C21" s="57"/>
      <c r="D21" s="9"/>
      <c r="E21" s="14">
        <f t="shared" si="19"/>
        <v>0</v>
      </c>
      <c r="F21" s="9">
        <f>AK21</f>
        <v>0</v>
      </c>
      <c r="G21" s="9">
        <f>AL21</f>
        <v>0</v>
      </c>
      <c r="H21" s="9" t="e">
        <f t="shared" si="20"/>
        <v>#DIV/0!</v>
      </c>
      <c r="I21" s="9"/>
      <c r="J21" s="9"/>
      <c r="K21" s="9">
        <f>SUM(K18:K20)</f>
        <v>0</v>
      </c>
      <c r="L21" s="9"/>
      <c r="M21" s="9">
        <f>SUM(M18:M20)</f>
        <v>0</v>
      </c>
      <c r="N21" s="9">
        <f>SUM(N18:N20)</f>
        <v>0</v>
      </c>
      <c r="O21" s="9" t="e">
        <f>H21-N21</f>
        <v>#DIV/0!</v>
      </c>
      <c r="P21" s="9" t="e">
        <f>O21/31</f>
        <v>#DIV/0!</v>
      </c>
      <c r="Q21" s="9"/>
      <c r="AJ21" s="6" t="s">
        <v>63</v>
      </c>
      <c r="AK21" s="6">
        <f>SUM(AK18:AK20)</f>
        <v>0</v>
      </c>
      <c r="AL21" s="6">
        <f>SUM(AL18:AL20)</f>
        <v>0</v>
      </c>
      <c r="AM21" s="6" t="e">
        <f>SUM(AM18:AM20)</f>
        <v>#DIV/0!</v>
      </c>
    </row>
    <row r="22" spans="1:40" x14ac:dyDescent="0.25">
      <c r="A22" s="9"/>
      <c r="B22" s="56"/>
      <c r="C22" s="57"/>
      <c r="D22" s="9"/>
      <c r="E22" s="14">
        <f>IF($C$2&gt;=5,AJ22,0)</f>
        <v>0</v>
      </c>
      <c r="F22" s="14">
        <f t="shared" ref="F22:H22" si="23">IF($C$2&gt;=5,AK22,0)</f>
        <v>0</v>
      </c>
      <c r="G22" s="14">
        <f t="shared" si="23"/>
        <v>0</v>
      </c>
      <c r="H22" s="14">
        <f t="shared" si="23"/>
        <v>0</v>
      </c>
      <c r="I22" s="14"/>
      <c r="J22" s="53">
        <f>IF($C$2&gt;=5,$AO$2,0)</f>
        <v>0</v>
      </c>
      <c r="K22" s="53"/>
      <c r="L22" s="53">
        <f>IF($C$2&gt;=5,$AQ$2,0)</f>
        <v>0</v>
      </c>
      <c r="M22" s="53"/>
      <c r="N22" s="25">
        <f>IF($C$2&gt;=5,$AS$2,0)</f>
        <v>0</v>
      </c>
      <c r="O22" s="25">
        <f>IF($C$2&gt;=5,$AT$2,0)</f>
        <v>0</v>
      </c>
      <c r="P22" s="25">
        <f>IF($C$2&gt;=5,$AU$2,0)</f>
        <v>0</v>
      </c>
      <c r="Q22" s="9"/>
      <c r="AJ22" s="6" t="s">
        <v>105</v>
      </c>
      <c r="AK22" s="6" t="s">
        <v>111</v>
      </c>
      <c r="AL22" s="6" t="s">
        <v>112</v>
      </c>
      <c r="AM22" s="6" t="s">
        <v>113</v>
      </c>
    </row>
    <row r="23" spans="1:40" x14ac:dyDescent="0.25">
      <c r="A23" s="9"/>
      <c r="B23" s="56"/>
      <c r="C23" s="57"/>
      <c r="D23" s="9"/>
      <c r="E23" s="14">
        <f t="shared" ref="E23:E26" si="24">IF($C$2&gt;=5,AJ23,0)</f>
        <v>0</v>
      </c>
      <c r="F23" s="9"/>
      <c r="G23" s="9">
        <v>0</v>
      </c>
      <c r="H23" s="9" t="e">
        <f>AM23</f>
        <v>#DIV/0!</v>
      </c>
      <c r="I23" s="9"/>
      <c r="J23" s="23"/>
      <c r="K23" s="23">
        <f>IF(J23=0,0,IF(J23&lt;=2,20,IF(J23&lt;=4,15,IF(J23&lt;=6,12,IF(J23&lt;=10,9,IF(J23&gt;=11,6,0))))))</f>
        <v>0</v>
      </c>
      <c r="L23" s="23"/>
      <c r="M23" s="23">
        <f>IF(L23=0,0,IF(L23&lt;=3,25,IF(L23&lt;=6,20,IF(L23&gt;=7,17,0))))</f>
        <v>0</v>
      </c>
      <c r="N23" s="9">
        <f>SUM(M23,K23)</f>
        <v>0</v>
      </c>
      <c r="O23" s="9"/>
      <c r="P23" s="9"/>
      <c r="Q23" s="9"/>
      <c r="AJ23" s="6" t="s">
        <v>99</v>
      </c>
      <c r="AK23" s="6">
        <f>F23</f>
        <v>0</v>
      </c>
      <c r="AL23" s="6">
        <f>IF(G23=0,0,IF(G23&lt;7,1,IF(G23&lt;7.5,2,IF(G23&lt;8,3,IF(G23&lt;8.5,4,IF(G23&lt;9,5,IF(G23&lt;9.5,6,IF(G23&lt;10,7,IF(G23&lt;10.5,8,IF(G23&lt;11,9,IF(G23&lt;11.5,10,IF(G23&lt;12,11,IF(G23=12,12,0)))))))))))))</f>
        <v>0</v>
      </c>
      <c r="AM23" s="6" t="e">
        <f>IF(AL23=0,0,IF(AK23=0,0,VLOOKUP(AL23,Data!$P$19:$AC$30,AK23+2)))*AN23</f>
        <v>#DIV/0!</v>
      </c>
      <c r="AN23" s="6" t="e">
        <f t="shared" si="6"/>
        <v>#DIV/0!</v>
      </c>
    </row>
    <row r="24" spans="1:40" x14ac:dyDescent="0.25">
      <c r="A24" s="9"/>
      <c r="B24" s="56"/>
      <c r="C24" s="57"/>
      <c r="D24" s="9"/>
      <c r="E24" s="14">
        <f t="shared" si="24"/>
        <v>0</v>
      </c>
      <c r="F24" s="9">
        <v>0</v>
      </c>
      <c r="G24" s="9">
        <v>0</v>
      </c>
      <c r="H24" s="9" t="e">
        <f t="shared" ref="H24:H26" si="25">AM24</f>
        <v>#DIV/0!</v>
      </c>
      <c r="I24" s="9"/>
      <c r="J24" s="23"/>
      <c r="K24" s="23">
        <f>IF(J24=0,0,IF(J24&lt;=2,20,IF(J24&lt;=4,15,IF(J24&lt;=6,12,IF(J24&lt;=10,9,IF(J24&gt;=11,6,0))))))</f>
        <v>0</v>
      </c>
      <c r="L24" s="23"/>
      <c r="M24" s="23">
        <f>IF(L24=0,0,IF(L24&lt;=3,25,IF(L24&lt;=6,20,IF(L24&gt;=7,17,0))))</f>
        <v>0</v>
      </c>
      <c r="N24" s="9">
        <f t="shared" ref="N24:N25" si="26">SUM(M24,K24)</f>
        <v>0</v>
      </c>
      <c r="O24" s="9"/>
      <c r="P24" s="9"/>
      <c r="Q24" s="9"/>
      <c r="AJ24" s="6" t="s">
        <v>100</v>
      </c>
      <c r="AK24" s="6">
        <f t="shared" ref="AK24:AK25" si="27">F24</f>
        <v>0</v>
      </c>
      <c r="AL24" s="6">
        <f>IF(G24=0,0,IF(G24&lt;4.5,1,IF(G24&lt;5,2,IF(G24&lt;5.5,3,IF(G24&lt;6,4,IF(G24&lt;=6.5,5,0))))))</f>
        <v>0</v>
      </c>
      <c r="AM24" s="6" t="e">
        <f>IF(AL24=0,0,IF(AK24=0,0,VLOOKUP(AL24,Data!$B$19:$O$23,AK24+2)))*AN24</f>
        <v>#DIV/0!</v>
      </c>
      <c r="AN24" s="6" t="e">
        <f t="shared" si="6"/>
        <v>#DIV/0!</v>
      </c>
    </row>
    <row r="25" spans="1:40" x14ac:dyDescent="0.25">
      <c r="A25" s="9"/>
      <c r="B25" s="56"/>
      <c r="C25" s="57"/>
      <c r="D25" s="9"/>
      <c r="E25" s="14">
        <f t="shared" si="24"/>
        <v>0</v>
      </c>
      <c r="F25" s="9">
        <v>0</v>
      </c>
      <c r="G25" s="9">
        <v>0</v>
      </c>
      <c r="H25" s="9" t="e">
        <f t="shared" si="25"/>
        <v>#DIV/0!</v>
      </c>
      <c r="I25" s="9"/>
      <c r="J25" s="23"/>
      <c r="K25" s="23">
        <f>IF(J25=0,0,IF(J25=1,16,IF(J25=2,14,IF(J25&lt;=6,12,IF(J25&lt;=10,9,IF(J25&gt;=11,6,0))))))</f>
        <v>0</v>
      </c>
      <c r="L25" s="23"/>
      <c r="M25" s="23">
        <f>IF(L25=0,0,IF(L25&lt;=2,22,IF(L25&gt;=3,16,0)))</f>
        <v>0</v>
      </c>
      <c r="N25" s="9">
        <f t="shared" si="26"/>
        <v>0</v>
      </c>
      <c r="O25" s="9"/>
      <c r="P25" s="9"/>
      <c r="Q25" s="9"/>
      <c r="AJ25" s="6" t="s">
        <v>101</v>
      </c>
      <c r="AK25" s="6">
        <f t="shared" si="27"/>
        <v>0</v>
      </c>
      <c r="AL25" s="6">
        <f>IF(G25=0,0,IF(G25&lt;20.5,1,IF(G25&lt;21,2,IF(G25&lt;21.5,3,IF(G25&lt;22,4,IF(G25&gt;=22,5,0))))))</f>
        <v>0</v>
      </c>
      <c r="AM25" s="6" t="e">
        <f>IF(AL25=0,0,IF(AK25=0,0,VLOOKUP(AL25,Data!$AD$19:$AK$23,AK25+2)))*AN25</f>
        <v>#DIV/0!</v>
      </c>
      <c r="AN25" s="6" t="e">
        <f t="shared" si="6"/>
        <v>#DIV/0!</v>
      </c>
    </row>
    <row r="26" spans="1:40" x14ac:dyDescent="0.25">
      <c r="A26" s="9"/>
      <c r="B26" s="56"/>
      <c r="C26" s="57"/>
      <c r="D26" s="9"/>
      <c r="E26" s="14">
        <f t="shared" si="24"/>
        <v>0</v>
      </c>
      <c r="F26" s="9">
        <f>AK26</f>
        <v>0</v>
      </c>
      <c r="G26" s="9">
        <f>AL26</f>
        <v>0</v>
      </c>
      <c r="H26" s="9" t="e">
        <f t="shared" si="25"/>
        <v>#DIV/0!</v>
      </c>
      <c r="I26" s="9"/>
      <c r="J26" s="9"/>
      <c r="K26" s="9">
        <f>SUM(K23:K25)</f>
        <v>0</v>
      </c>
      <c r="L26" s="9"/>
      <c r="M26" s="9">
        <f>SUM(M23:M25)</f>
        <v>0</v>
      </c>
      <c r="N26" s="9">
        <f>SUM(N23:N25)</f>
        <v>0</v>
      </c>
      <c r="O26" s="9" t="e">
        <f>H26-N26</f>
        <v>#DIV/0!</v>
      </c>
      <c r="P26" s="9" t="e">
        <f>O26/31</f>
        <v>#DIV/0!</v>
      </c>
      <c r="Q26" s="9"/>
      <c r="AJ26" s="6" t="s">
        <v>63</v>
      </c>
      <c r="AK26" s="6">
        <f>SUM(AK23:AK25)</f>
        <v>0</v>
      </c>
      <c r="AL26" s="6">
        <f>SUM(AL23:AL25)</f>
        <v>0</v>
      </c>
      <c r="AM26" s="6" t="e">
        <f>SUM(AM23:AM25)</f>
        <v>#DIV/0!</v>
      </c>
    </row>
    <row r="27" spans="1:40" x14ac:dyDescent="0.25">
      <c r="A27" s="9"/>
      <c r="B27" s="56"/>
      <c r="C27" s="57"/>
      <c r="D27" s="9"/>
      <c r="E27" s="14">
        <f>IF($C$2&gt;=6,AJ27,0)</f>
        <v>0</v>
      </c>
      <c r="F27" s="14">
        <f t="shared" ref="F27:H27" si="28">IF($C$2&gt;=6,AK27,0)</f>
        <v>0</v>
      </c>
      <c r="G27" s="14">
        <f t="shared" si="28"/>
        <v>0</v>
      </c>
      <c r="H27" s="14">
        <f t="shared" si="28"/>
        <v>0</v>
      </c>
      <c r="I27" s="14"/>
      <c r="J27" s="53">
        <f>IF($C$2&gt;=6,$AO$2,0)</f>
        <v>0</v>
      </c>
      <c r="K27" s="53"/>
      <c r="L27" s="53">
        <f>IF($C$2&gt;=6,$AQ$2,0)</f>
        <v>0</v>
      </c>
      <c r="M27" s="53"/>
      <c r="N27" s="25">
        <f>IF($C$2&gt;=6,$AS$2,0)</f>
        <v>0</v>
      </c>
      <c r="O27" s="25">
        <f>IF($C$2&gt;=6,$AT$2,0)</f>
        <v>0</v>
      </c>
      <c r="P27" s="25">
        <f>IF($C$2&gt;=6,$AU$2,0)</f>
        <v>0</v>
      </c>
      <c r="Q27" s="9"/>
      <c r="AJ27" s="6" t="s">
        <v>106</v>
      </c>
      <c r="AK27" s="6" t="s">
        <v>111</v>
      </c>
      <c r="AL27" s="6" t="s">
        <v>112</v>
      </c>
      <c r="AM27" s="6" t="s">
        <v>113</v>
      </c>
    </row>
    <row r="28" spans="1:40" ht="16.5" thickBot="1" x14ac:dyDescent="0.3">
      <c r="A28" s="9"/>
      <c r="B28" s="58"/>
      <c r="C28" s="59"/>
      <c r="D28" s="9"/>
      <c r="E28" s="14">
        <f t="shared" ref="E28:E31" si="29">IF($C$2&gt;=6,AJ28,0)</f>
        <v>0</v>
      </c>
      <c r="F28" s="9"/>
      <c r="G28" s="9">
        <v>0</v>
      </c>
      <c r="H28" s="9" t="e">
        <f>AM28</f>
        <v>#DIV/0!</v>
      </c>
      <c r="I28" s="9"/>
      <c r="J28" s="23"/>
      <c r="K28" s="23">
        <f>IF(J28=0,0,IF(J28&lt;=2,20,IF(J28&lt;=4,15,IF(J28&lt;=6,12,IF(J28&lt;=10,9,IF(J28&gt;=11,6,0))))))</f>
        <v>0</v>
      </c>
      <c r="L28" s="23"/>
      <c r="M28" s="23">
        <f>IF(L28=0,0,IF(L28&lt;=3,25,IF(L28&lt;=6,20,IF(L28&gt;=7,17,0))))</f>
        <v>0</v>
      </c>
      <c r="N28" s="9">
        <f>SUM(M28,K28)</f>
        <v>0</v>
      </c>
      <c r="O28" s="9"/>
      <c r="P28" s="9"/>
      <c r="Q28" s="9"/>
      <c r="AJ28" s="6" t="s">
        <v>99</v>
      </c>
      <c r="AK28" s="6">
        <f>F28</f>
        <v>0</v>
      </c>
      <c r="AL28" s="6">
        <f>IF(G28=0,0,IF(G28&lt;7,1,IF(G28&lt;7.5,2,IF(G28&lt;8,3,IF(G28&lt;8.5,4,IF(G28&lt;9,5,IF(G28&lt;9.5,6,IF(G28&lt;10,7,IF(G28&lt;10.5,8,IF(G28&lt;11,9,IF(G28&lt;11.5,10,IF(G28&lt;12,11,IF(G28=12,12,0)))))))))))))</f>
        <v>0</v>
      </c>
      <c r="AM28" s="6" t="e">
        <f>IF(AL28=0,0,IF(AK28=0,0,VLOOKUP(AL28,Data!$P$19:$AC$30,AK28+2)))*AN28</f>
        <v>#DIV/0!</v>
      </c>
      <c r="AN28" s="6" t="e">
        <f t="shared" si="6"/>
        <v>#DIV/0!</v>
      </c>
    </row>
    <row r="29" spans="1:40" x14ac:dyDescent="0.25">
      <c r="A29" s="9"/>
      <c r="B29" s="9"/>
      <c r="C29" s="9"/>
      <c r="D29" s="9"/>
      <c r="E29" s="14">
        <f t="shared" si="29"/>
        <v>0</v>
      </c>
      <c r="F29" s="9">
        <v>0</v>
      </c>
      <c r="G29" s="9">
        <v>0</v>
      </c>
      <c r="H29" s="9" t="e">
        <f t="shared" ref="H29:H31" si="30">AM29</f>
        <v>#DIV/0!</v>
      </c>
      <c r="I29" s="9"/>
      <c r="J29" s="23"/>
      <c r="K29" s="23">
        <f>IF(J29=0,0,IF(J29&lt;=2,20,IF(J29&lt;=4,15,IF(J29&lt;=6,12,IF(J29&lt;=10,9,IF(J29&gt;=11,6,0))))))</f>
        <v>0</v>
      </c>
      <c r="L29" s="23"/>
      <c r="M29" s="23">
        <f>IF(L29=0,0,IF(L29&lt;=3,25,IF(L29&lt;=6,20,IF(L29&gt;=7,17,0))))</f>
        <v>0</v>
      </c>
      <c r="N29" s="9">
        <f t="shared" ref="N29:N30" si="31">SUM(M29,K29)</f>
        <v>0</v>
      </c>
      <c r="O29" s="9"/>
      <c r="P29" s="9"/>
      <c r="Q29" s="9"/>
      <c r="AJ29" s="6" t="s">
        <v>100</v>
      </c>
      <c r="AK29" s="6">
        <f t="shared" ref="AK29:AK30" si="32">F29</f>
        <v>0</v>
      </c>
      <c r="AL29" s="6">
        <f>IF(G29=0,0,IF(G29&lt;4.5,1,IF(G29&lt;5,2,IF(G29&lt;5.5,3,IF(G29&lt;6,4,IF(G29&lt;=6.5,5,0))))))</f>
        <v>0</v>
      </c>
      <c r="AM29" s="6" t="e">
        <f>IF(AL29=0,0,IF(AK29=0,0,VLOOKUP(AL29,Data!$B$19:$O$23,AK29+2)))*AN29</f>
        <v>#DIV/0!</v>
      </c>
      <c r="AN29" s="6" t="e">
        <f t="shared" si="6"/>
        <v>#DIV/0!</v>
      </c>
    </row>
    <row r="30" spans="1:40" x14ac:dyDescent="0.25">
      <c r="A30" s="9"/>
      <c r="B30" s="9"/>
      <c r="C30" s="9"/>
      <c r="D30" s="9"/>
      <c r="E30" s="14">
        <f t="shared" si="29"/>
        <v>0</v>
      </c>
      <c r="F30" s="9">
        <v>0</v>
      </c>
      <c r="G30" s="9">
        <v>0</v>
      </c>
      <c r="H30" s="9" t="e">
        <f t="shared" si="30"/>
        <v>#DIV/0!</v>
      </c>
      <c r="I30" s="9"/>
      <c r="J30" s="23"/>
      <c r="K30" s="23">
        <f>IF(J30=0,0,IF(J30=1,16,IF(J30=2,14,IF(J30&lt;=6,12,IF(J30&lt;=10,9,IF(J30&gt;=11,6,0))))))</f>
        <v>0</v>
      </c>
      <c r="L30" s="23"/>
      <c r="M30" s="23">
        <f>IF(L30=0,0,IF(L30&lt;=2,22,IF(L30&gt;=3,16,0)))</f>
        <v>0</v>
      </c>
      <c r="N30" s="9">
        <f t="shared" si="31"/>
        <v>0</v>
      </c>
      <c r="O30" s="9"/>
      <c r="P30" s="9"/>
      <c r="Q30" s="9"/>
      <c r="AJ30" s="6" t="s">
        <v>101</v>
      </c>
      <c r="AK30" s="6">
        <f t="shared" si="32"/>
        <v>0</v>
      </c>
      <c r="AL30" s="6">
        <f>IF(G30=0,0,IF(G30&lt;20.5,1,IF(G30&lt;21,2,IF(G30&lt;21.5,3,IF(G30&lt;22,4,IF(G30&gt;=22,5,0))))))</f>
        <v>0</v>
      </c>
      <c r="AM30" s="6" t="e">
        <f>IF(AL30=0,0,IF(AK30=0,0,VLOOKUP(AL30,Data!$AD$19:$AK$23,AK30+2)))*AN30</f>
        <v>#DIV/0!</v>
      </c>
      <c r="AN30" s="6" t="e">
        <f t="shared" si="6"/>
        <v>#DIV/0!</v>
      </c>
    </row>
    <row r="31" spans="1:40" x14ac:dyDescent="0.25">
      <c r="A31" s="9"/>
      <c r="B31" s="9"/>
      <c r="C31" s="9"/>
      <c r="D31" s="9"/>
      <c r="E31" s="14">
        <f t="shared" si="29"/>
        <v>0</v>
      </c>
      <c r="F31" s="9">
        <f>AK31</f>
        <v>0</v>
      </c>
      <c r="G31" s="9">
        <f>AL31</f>
        <v>0</v>
      </c>
      <c r="H31" s="9" t="e">
        <f t="shared" si="30"/>
        <v>#DIV/0!</v>
      </c>
      <c r="I31" s="9"/>
      <c r="J31" s="9"/>
      <c r="K31" s="9">
        <f>SUM(K28:K30)</f>
        <v>0</v>
      </c>
      <c r="L31" s="9"/>
      <c r="M31" s="9">
        <f>SUM(M28:M30)</f>
        <v>0</v>
      </c>
      <c r="N31" s="9">
        <f>SUM(N28:N30)</f>
        <v>0</v>
      </c>
      <c r="O31" s="9" t="e">
        <f>H31-N31</f>
        <v>#DIV/0!</v>
      </c>
      <c r="P31" s="9" t="e">
        <f>O31/31</f>
        <v>#DIV/0!</v>
      </c>
      <c r="Q31" s="9"/>
      <c r="AJ31" s="6" t="s">
        <v>63</v>
      </c>
      <c r="AK31" s="6">
        <f>SUM(AK28:AK30)</f>
        <v>0</v>
      </c>
      <c r="AL31" s="6">
        <f>SUM(AL28:AL30)</f>
        <v>0</v>
      </c>
      <c r="AM31" s="6" t="e">
        <f>SUM(AM28:AM30)</f>
        <v>#DIV/0!</v>
      </c>
    </row>
    <row r="32" spans="1:40" x14ac:dyDescent="0.25">
      <c r="A32" s="9"/>
      <c r="B32" s="9"/>
      <c r="C32" s="9"/>
      <c r="D32" s="9"/>
      <c r="E32" s="14">
        <f>IF($C$2&gt;=7,AJ32,0)</f>
        <v>0</v>
      </c>
      <c r="F32" s="14">
        <f t="shared" ref="F32:H32" si="33">IF($C$2&gt;=7,AK32,0)</f>
        <v>0</v>
      </c>
      <c r="G32" s="14">
        <f t="shared" si="33"/>
        <v>0</v>
      </c>
      <c r="H32" s="14">
        <f t="shared" si="33"/>
        <v>0</v>
      </c>
      <c r="I32" s="14"/>
      <c r="J32" s="53">
        <f>IF($C$2&gt;=7,$AO$2,0)</f>
        <v>0</v>
      </c>
      <c r="K32" s="53"/>
      <c r="L32" s="53">
        <f>IF($C$2&gt;=7,$AQ$2,0)</f>
        <v>0</v>
      </c>
      <c r="M32" s="53"/>
      <c r="N32" s="25">
        <f>IF($C$2&gt;=7,$AS$2,0)</f>
        <v>0</v>
      </c>
      <c r="O32" s="25">
        <f>IF($C$2&gt;=7,$AT$2,0)</f>
        <v>0</v>
      </c>
      <c r="P32" s="25">
        <f>IF($C$2&gt;=7,$AU$2,0)</f>
        <v>0</v>
      </c>
      <c r="Q32" s="9"/>
      <c r="AJ32" s="6" t="s">
        <v>107</v>
      </c>
      <c r="AK32" s="6" t="s">
        <v>111</v>
      </c>
      <c r="AL32" s="6" t="s">
        <v>112</v>
      </c>
      <c r="AM32" s="6" t="s">
        <v>113</v>
      </c>
    </row>
    <row r="33" spans="1:40" x14ac:dyDescent="0.25">
      <c r="A33" s="9"/>
      <c r="B33" s="9"/>
      <c r="C33" s="9"/>
      <c r="D33" s="9"/>
      <c r="E33" s="14">
        <f t="shared" ref="E33:E36" si="34">IF($C$2&gt;=7,AJ33,0)</f>
        <v>0</v>
      </c>
      <c r="F33" s="9"/>
      <c r="G33" s="9">
        <v>0</v>
      </c>
      <c r="H33" s="9" t="e">
        <f>AM33</f>
        <v>#DIV/0!</v>
      </c>
      <c r="I33" s="9"/>
      <c r="J33" s="23"/>
      <c r="K33" s="23">
        <f>IF(J33=0,0,IF(J33&lt;=2,20,IF(J33&lt;=4,15,IF(J33&lt;=6,12,IF(J33&lt;=10,9,IF(J33&gt;=11,6,0))))))</f>
        <v>0</v>
      </c>
      <c r="L33" s="23"/>
      <c r="M33" s="23">
        <f>IF(L33=0,0,IF(L33&lt;=3,25,IF(L33&lt;=6,20,IF(L33&gt;=7,17,0))))</f>
        <v>0</v>
      </c>
      <c r="N33" s="9">
        <f>SUM(M33,K33)</f>
        <v>0</v>
      </c>
      <c r="O33" s="9"/>
      <c r="P33" s="9"/>
      <c r="Q33" s="9"/>
      <c r="AJ33" s="6" t="s">
        <v>99</v>
      </c>
      <c r="AK33" s="6">
        <f>F33</f>
        <v>0</v>
      </c>
      <c r="AL33" s="6">
        <f>IF(G33=0,0,IF(G33&lt;7,1,IF(G33&lt;7.5,2,IF(G33&lt;8,3,IF(G33&lt;8.5,4,IF(G33&lt;9,5,IF(G33&lt;9.5,6,IF(G33&lt;10,7,IF(G33&lt;10.5,8,IF(G33&lt;11,9,IF(G33&lt;11.5,10,IF(G33&lt;12,11,IF(G33=12,12,0)))))))))))))</f>
        <v>0</v>
      </c>
      <c r="AM33" s="6" t="e">
        <f>IF(AL33=0,0,IF(AK33=0,0,VLOOKUP(AL33,Data!$P$19:$AC$30,AK33+2)))*AN33</f>
        <v>#DIV/0!</v>
      </c>
      <c r="AN33" s="6" t="e">
        <f t="shared" si="6"/>
        <v>#DIV/0!</v>
      </c>
    </row>
    <row r="34" spans="1:40" x14ac:dyDescent="0.25">
      <c r="A34" s="9"/>
      <c r="B34" s="9"/>
      <c r="C34" s="9"/>
      <c r="D34" s="9"/>
      <c r="E34" s="14">
        <f t="shared" si="34"/>
        <v>0</v>
      </c>
      <c r="F34" s="9">
        <v>0</v>
      </c>
      <c r="G34" s="9">
        <v>0</v>
      </c>
      <c r="H34" s="9" t="e">
        <f t="shared" ref="H34:H36" si="35">AM34</f>
        <v>#DIV/0!</v>
      </c>
      <c r="I34" s="9"/>
      <c r="J34" s="23"/>
      <c r="K34" s="23">
        <f>IF(J34=0,0,IF(J34&lt;=2,20,IF(J34&lt;=4,15,IF(J34&lt;=6,12,IF(J34&lt;=10,9,IF(J34&gt;=11,6,0))))))</f>
        <v>0</v>
      </c>
      <c r="L34" s="23"/>
      <c r="M34" s="23">
        <f>IF(L34=0,0,IF(L34&lt;=3,25,IF(L34&lt;=6,20,IF(L34&gt;=7,17,0))))</f>
        <v>0</v>
      </c>
      <c r="N34" s="9">
        <f t="shared" ref="N34:N35" si="36">SUM(M34,K34)</f>
        <v>0</v>
      </c>
      <c r="O34" s="9"/>
      <c r="P34" s="9"/>
      <c r="Q34" s="9"/>
      <c r="AJ34" s="6" t="s">
        <v>100</v>
      </c>
      <c r="AK34" s="6">
        <f t="shared" ref="AK34:AK35" si="37">F34</f>
        <v>0</v>
      </c>
      <c r="AL34" s="6">
        <f>IF(G34=0,0,IF(G34&lt;4.5,1,IF(G34&lt;5,2,IF(G34&lt;5.5,3,IF(G34&lt;6,4,IF(G34&lt;=6.5,5,0))))))</f>
        <v>0</v>
      </c>
      <c r="AM34" s="6" t="e">
        <f>IF(AL34=0,0,IF(AK34=0,0,VLOOKUP(AL34,Data!$B$19:$O$23,AK34+2)))*AN34</f>
        <v>#DIV/0!</v>
      </c>
      <c r="AN34" s="6" t="e">
        <f t="shared" si="6"/>
        <v>#DIV/0!</v>
      </c>
    </row>
    <row r="35" spans="1:40" x14ac:dyDescent="0.25">
      <c r="A35" s="9"/>
      <c r="B35" s="9"/>
      <c r="C35" s="9"/>
      <c r="D35" s="9"/>
      <c r="E35" s="14">
        <f t="shared" si="34"/>
        <v>0</v>
      </c>
      <c r="F35" s="9">
        <v>0</v>
      </c>
      <c r="G35" s="9">
        <v>0</v>
      </c>
      <c r="H35" s="9" t="e">
        <f t="shared" si="35"/>
        <v>#DIV/0!</v>
      </c>
      <c r="I35" s="9"/>
      <c r="J35" s="23"/>
      <c r="K35" s="23">
        <f>IF(J35=0,0,IF(J35=1,16,IF(J35=2,14,IF(J35&lt;=6,12,IF(J35&lt;=10,9,IF(J35&gt;=11,6,0))))))</f>
        <v>0</v>
      </c>
      <c r="L35" s="23"/>
      <c r="M35" s="23">
        <f>IF(L35=0,0,IF(L35&lt;=2,22,IF(L35&gt;=3,16,0)))</f>
        <v>0</v>
      </c>
      <c r="N35" s="9">
        <f t="shared" si="36"/>
        <v>0</v>
      </c>
      <c r="O35" s="9"/>
      <c r="P35" s="9"/>
      <c r="Q35" s="9"/>
      <c r="AJ35" s="6" t="s">
        <v>101</v>
      </c>
      <c r="AK35" s="6">
        <f t="shared" si="37"/>
        <v>0</v>
      </c>
      <c r="AL35" s="6">
        <f>IF(G35=0,0,IF(G35&lt;20.5,1,IF(G35&lt;21,2,IF(G35&lt;21.5,3,IF(G35&lt;22,4,IF(G35&gt;=22,5,0))))))</f>
        <v>0</v>
      </c>
      <c r="AM35" s="6" t="e">
        <f>IF(AL35=0,0,IF(AK35=0,0,VLOOKUP(AL35,Data!$AD$19:$AK$23,AK35+2)))*AN35</f>
        <v>#DIV/0!</v>
      </c>
      <c r="AN35" s="6" t="e">
        <f t="shared" si="6"/>
        <v>#DIV/0!</v>
      </c>
    </row>
    <row r="36" spans="1:40" x14ac:dyDescent="0.25">
      <c r="A36" s="9"/>
      <c r="B36" s="9"/>
      <c r="C36" s="9"/>
      <c r="D36" s="9"/>
      <c r="E36" s="14">
        <f t="shared" si="34"/>
        <v>0</v>
      </c>
      <c r="F36" s="9">
        <f>AK36</f>
        <v>0</v>
      </c>
      <c r="G36" s="9">
        <f>AL36</f>
        <v>0</v>
      </c>
      <c r="H36" s="9" t="e">
        <f t="shared" si="35"/>
        <v>#DIV/0!</v>
      </c>
      <c r="I36" s="9"/>
      <c r="J36" s="9"/>
      <c r="K36" s="9">
        <f>SUM(K33:K35)</f>
        <v>0</v>
      </c>
      <c r="L36" s="9"/>
      <c r="M36" s="9">
        <f>SUM(M33:M35)</f>
        <v>0</v>
      </c>
      <c r="N36" s="9">
        <f>SUM(N33:N35)</f>
        <v>0</v>
      </c>
      <c r="O36" s="9" t="e">
        <f>H36-N36</f>
        <v>#DIV/0!</v>
      </c>
      <c r="P36" s="9" t="e">
        <f>O36/31</f>
        <v>#DIV/0!</v>
      </c>
      <c r="Q36" s="9"/>
      <c r="AJ36" s="6" t="s">
        <v>63</v>
      </c>
      <c r="AK36" s="6">
        <f>SUM(AK33:AK35)</f>
        <v>0</v>
      </c>
      <c r="AL36" s="6">
        <f>SUM(AL33:AL35)</f>
        <v>0</v>
      </c>
      <c r="AM36" s="6" t="e">
        <f>SUM(AM33:AM35)</f>
        <v>#DIV/0!</v>
      </c>
    </row>
    <row r="37" spans="1:40" x14ac:dyDescent="0.25">
      <c r="A37" s="9"/>
      <c r="B37" s="9"/>
      <c r="C37" s="9"/>
      <c r="D37" s="9"/>
      <c r="E37" s="14">
        <f>IF($C$2&gt;=8,AJ37,0)</f>
        <v>0</v>
      </c>
      <c r="F37" s="14">
        <f t="shared" ref="F37:H37" si="38">IF($C$2&gt;=8,AK37,0)</f>
        <v>0</v>
      </c>
      <c r="G37" s="14">
        <f t="shared" si="38"/>
        <v>0</v>
      </c>
      <c r="H37" s="14">
        <f t="shared" si="38"/>
        <v>0</v>
      </c>
      <c r="I37" s="14"/>
      <c r="J37" s="53">
        <f>IF($C$2&gt;=8,$AO$2,0)</f>
        <v>0</v>
      </c>
      <c r="K37" s="53"/>
      <c r="L37" s="53">
        <f>IF($C$2&gt;=8,$AQ$2,0)</f>
        <v>0</v>
      </c>
      <c r="M37" s="53"/>
      <c r="N37" s="25">
        <f>IF($C$2&gt;=8,$AS$2,0)</f>
        <v>0</v>
      </c>
      <c r="O37" s="25">
        <f>IF($C$2&gt;=8,$AT$2,0)</f>
        <v>0</v>
      </c>
      <c r="P37" s="25">
        <f>IF($C$2&gt;=8,$AU$2,0)</f>
        <v>0</v>
      </c>
      <c r="Q37" s="9"/>
      <c r="AJ37" s="6" t="s">
        <v>108</v>
      </c>
      <c r="AK37" s="6" t="s">
        <v>111</v>
      </c>
      <c r="AL37" s="6" t="s">
        <v>112</v>
      </c>
      <c r="AM37" s="6" t="s">
        <v>113</v>
      </c>
    </row>
    <row r="38" spans="1:40" x14ac:dyDescent="0.25">
      <c r="A38" s="9"/>
      <c r="B38" s="9"/>
      <c r="C38" s="9"/>
      <c r="D38" s="9"/>
      <c r="E38" s="14">
        <f t="shared" ref="E38:E41" si="39">IF($C$2&gt;=8,AJ38,0)</f>
        <v>0</v>
      </c>
      <c r="F38" s="9"/>
      <c r="G38" s="9">
        <v>0</v>
      </c>
      <c r="H38" s="9" t="e">
        <f>AM38</f>
        <v>#DIV/0!</v>
      </c>
      <c r="I38" s="9"/>
      <c r="J38" s="23"/>
      <c r="K38" s="23">
        <f>IF(J38=0,0,IF(J38&lt;=2,20,IF(J38&lt;=4,15,IF(J38&lt;=6,12,IF(J38&lt;=10,9,IF(J38&gt;=11,6,0))))))</f>
        <v>0</v>
      </c>
      <c r="L38" s="23"/>
      <c r="M38" s="23">
        <f>IF(L38=0,0,IF(L38&lt;=3,25,IF(L38&lt;=6,20,IF(L38&gt;=7,17,0))))</f>
        <v>0</v>
      </c>
      <c r="N38" s="9">
        <f>SUM(M38,K38)</f>
        <v>0</v>
      </c>
      <c r="O38" s="9"/>
      <c r="P38" s="9"/>
      <c r="Q38" s="9"/>
      <c r="AJ38" s="6" t="s">
        <v>99</v>
      </c>
      <c r="AK38" s="6">
        <f>F38</f>
        <v>0</v>
      </c>
      <c r="AL38" s="6">
        <f>IF(G38=0,0,IF(G38&lt;7,1,IF(G38&lt;7.5,2,IF(G38&lt;8,3,IF(G38&lt;8.5,4,IF(G38&lt;9,5,IF(G38&lt;9.5,6,IF(G38&lt;10,7,IF(G38&lt;10.5,8,IF(G38&lt;11,9,IF(G38&lt;11.5,10,IF(G38&lt;12,11,IF(G38=12,12,0)))))))))))))</f>
        <v>0</v>
      </c>
      <c r="AM38" s="6" t="e">
        <f>IF(AL38=0,0,IF(AK38=0,0,VLOOKUP(AL38,Data!$P$19:$AC$30,AK38+2)))*AN38</f>
        <v>#DIV/0!</v>
      </c>
      <c r="AN38" s="6" t="e">
        <f t="shared" si="6"/>
        <v>#DIV/0!</v>
      </c>
    </row>
    <row r="39" spans="1:40" x14ac:dyDescent="0.25">
      <c r="A39" s="9"/>
      <c r="B39" s="9"/>
      <c r="C39" s="9"/>
      <c r="D39" s="9"/>
      <c r="E39" s="14">
        <f t="shared" si="39"/>
        <v>0</v>
      </c>
      <c r="F39" s="9">
        <v>0</v>
      </c>
      <c r="G39" s="9">
        <v>0</v>
      </c>
      <c r="H39" s="9" t="e">
        <f t="shared" ref="H39:H41" si="40">AM39</f>
        <v>#DIV/0!</v>
      </c>
      <c r="I39" s="9"/>
      <c r="J39" s="23"/>
      <c r="K39" s="23">
        <f>IF(J39=0,0,IF(J39&lt;=2,20,IF(J39&lt;=4,15,IF(J39&lt;=6,12,IF(J39&lt;=10,9,IF(J39&gt;=11,6,0))))))</f>
        <v>0</v>
      </c>
      <c r="L39" s="23"/>
      <c r="M39" s="23">
        <f>IF(L39=0,0,IF(L39&lt;=3,25,IF(L39&lt;=6,20,IF(L39&gt;=7,17,0))))</f>
        <v>0</v>
      </c>
      <c r="N39" s="9">
        <f t="shared" ref="N39:N40" si="41">SUM(M39,K39)</f>
        <v>0</v>
      </c>
      <c r="O39" s="9"/>
      <c r="P39" s="9"/>
      <c r="Q39" s="9"/>
      <c r="AJ39" s="6" t="s">
        <v>100</v>
      </c>
      <c r="AK39" s="6">
        <f t="shared" ref="AK39:AK40" si="42">F39</f>
        <v>0</v>
      </c>
      <c r="AL39" s="6">
        <f>IF(G39=0,0,IF(G39&lt;4.5,1,IF(G39&lt;5,2,IF(G39&lt;5.5,3,IF(G39&lt;6,4,IF(G39&lt;=6.5,5,0))))))</f>
        <v>0</v>
      </c>
      <c r="AM39" s="6" t="e">
        <f>IF(AL39=0,0,IF(AK39=0,0,VLOOKUP(AL39,Data!$B$19:$O$23,AK39+2)))*AN39</f>
        <v>#DIV/0!</v>
      </c>
      <c r="AN39" s="6" t="e">
        <f t="shared" si="6"/>
        <v>#DIV/0!</v>
      </c>
    </row>
    <row r="40" spans="1:40" x14ac:dyDescent="0.25">
      <c r="A40" s="9"/>
      <c r="B40" s="9"/>
      <c r="C40" s="9"/>
      <c r="D40" s="9"/>
      <c r="E40" s="14">
        <f t="shared" si="39"/>
        <v>0</v>
      </c>
      <c r="F40" s="9">
        <v>0</v>
      </c>
      <c r="G40" s="9">
        <v>0</v>
      </c>
      <c r="H40" s="9" t="e">
        <f t="shared" si="40"/>
        <v>#DIV/0!</v>
      </c>
      <c r="I40" s="9"/>
      <c r="J40" s="23"/>
      <c r="K40" s="23">
        <f>IF(J40=0,0,IF(J40=1,16,IF(J40=2,14,IF(J40&lt;=6,12,IF(J40&lt;=10,9,IF(J40&gt;=11,6,0))))))</f>
        <v>0</v>
      </c>
      <c r="L40" s="23"/>
      <c r="M40" s="23">
        <f>IF(L40=0,0,IF(L40&lt;=2,22,IF(L40&gt;=3,16,0)))</f>
        <v>0</v>
      </c>
      <c r="N40" s="9">
        <f t="shared" si="41"/>
        <v>0</v>
      </c>
      <c r="O40" s="9"/>
      <c r="P40" s="9"/>
      <c r="Q40" s="9"/>
      <c r="AJ40" s="6" t="s">
        <v>101</v>
      </c>
      <c r="AK40" s="6">
        <f t="shared" si="42"/>
        <v>0</v>
      </c>
      <c r="AL40" s="6">
        <f>IF(G40=0,0,IF(G40&lt;20.5,1,IF(G40&lt;21,2,IF(G40&lt;21.5,3,IF(G40&lt;22,4,IF(G40&gt;=22,5,0))))))</f>
        <v>0</v>
      </c>
      <c r="AM40" s="6" t="e">
        <f>IF(AL40=0,0,IF(AK40=0,0,VLOOKUP(AL40,Data!$AD$19:$AK$23,AK40+2)))*AN40</f>
        <v>#DIV/0!</v>
      </c>
      <c r="AN40" s="6" t="e">
        <f t="shared" si="6"/>
        <v>#DIV/0!</v>
      </c>
    </row>
    <row r="41" spans="1:40" x14ac:dyDescent="0.25">
      <c r="A41" s="9"/>
      <c r="B41" s="9"/>
      <c r="C41" s="9"/>
      <c r="D41" s="9"/>
      <c r="E41" s="14">
        <f t="shared" si="39"/>
        <v>0</v>
      </c>
      <c r="F41" s="9">
        <f>AK41</f>
        <v>0</v>
      </c>
      <c r="G41" s="9">
        <f>AL41</f>
        <v>0</v>
      </c>
      <c r="H41" s="9" t="e">
        <f t="shared" si="40"/>
        <v>#DIV/0!</v>
      </c>
      <c r="I41" s="9"/>
      <c r="J41" s="9"/>
      <c r="K41" s="9">
        <f>SUM(K38:K40)</f>
        <v>0</v>
      </c>
      <c r="L41" s="9"/>
      <c r="M41" s="9">
        <f>SUM(M38:M40)</f>
        <v>0</v>
      </c>
      <c r="N41" s="9">
        <f>SUM(N38:N40)</f>
        <v>0</v>
      </c>
      <c r="O41" s="9" t="e">
        <f>H41-N41</f>
        <v>#DIV/0!</v>
      </c>
      <c r="P41" s="9" t="e">
        <f>O41/31</f>
        <v>#DIV/0!</v>
      </c>
      <c r="Q41" s="9"/>
      <c r="AJ41" s="6" t="s">
        <v>63</v>
      </c>
      <c r="AK41" s="6">
        <f>SUM(AK38:AK40)</f>
        <v>0</v>
      </c>
      <c r="AL41" s="6">
        <f>SUM(AL38:AL40)</f>
        <v>0</v>
      </c>
      <c r="AM41" s="6" t="e">
        <f>SUM(AM38:AM40)</f>
        <v>#DIV/0!</v>
      </c>
    </row>
    <row r="42" spans="1:40" x14ac:dyDescent="0.25">
      <c r="A42" s="9"/>
      <c r="B42" s="9"/>
      <c r="C42" s="9"/>
      <c r="D42" s="9"/>
      <c r="E42" s="14">
        <f>IF($C$2&gt;=9,AJ42,0)</f>
        <v>0</v>
      </c>
      <c r="F42" s="14">
        <f t="shared" ref="F42:H42" si="43">IF($C$2&gt;=9,AK42,0)</f>
        <v>0</v>
      </c>
      <c r="G42" s="14">
        <f t="shared" si="43"/>
        <v>0</v>
      </c>
      <c r="H42" s="14">
        <f t="shared" si="43"/>
        <v>0</v>
      </c>
      <c r="I42" s="14"/>
      <c r="J42" s="53">
        <f>IF($C$2&gt;=9,$AO$2,0)</f>
        <v>0</v>
      </c>
      <c r="K42" s="53"/>
      <c r="L42" s="53">
        <f>IF($C$2&gt;=9,$AQ$2,0)</f>
        <v>0</v>
      </c>
      <c r="M42" s="53"/>
      <c r="N42" s="25">
        <f>IF($C$2&gt;=9,$AS$2,0)</f>
        <v>0</v>
      </c>
      <c r="O42" s="25">
        <f>IF($C$2&gt;=9,$AT$2,0)</f>
        <v>0</v>
      </c>
      <c r="P42" s="25">
        <f>IF($C$2&gt;=9,$AU$2,0)</f>
        <v>0</v>
      </c>
      <c r="Q42" s="9"/>
      <c r="AJ42" s="6" t="s">
        <v>109</v>
      </c>
      <c r="AK42" s="6" t="s">
        <v>111</v>
      </c>
      <c r="AL42" s="6" t="s">
        <v>112</v>
      </c>
      <c r="AM42" s="6" t="s">
        <v>113</v>
      </c>
    </row>
    <row r="43" spans="1:40" x14ac:dyDescent="0.25">
      <c r="A43" s="9"/>
      <c r="B43" s="9"/>
      <c r="C43" s="9"/>
      <c r="D43" s="9"/>
      <c r="E43" s="14">
        <f t="shared" ref="E43:E46" si="44">IF($C$2&gt;=9,AJ43,0)</f>
        <v>0</v>
      </c>
      <c r="F43" s="9"/>
      <c r="G43" s="9">
        <v>0</v>
      </c>
      <c r="H43" s="9" t="e">
        <f>AM43</f>
        <v>#DIV/0!</v>
      </c>
      <c r="I43" s="9"/>
      <c r="J43" s="23"/>
      <c r="K43" s="23">
        <f>IF(J43=0,0,IF(J43&lt;=2,20,IF(J43&lt;=4,15,IF(J43&lt;=6,12,IF(J43&lt;=10,9,IF(J43&gt;=11,6,0))))))</f>
        <v>0</v>
      </c>
      <c r="L43" s="23"/>
      <c r="M43" s="23">
        <f>IF(L43=0,0,IF(L43&lt;=3,25,IF(L43&lt;=6,20,IF(L43&gt;=7,17,0))))</f>
        <v>0</v>
      </c>
      <c r="N43" s="9">
        <f>SUM(M43,K43)</f>
        <v>0</v>
      </c>
      <c r="O43" s="9"/>
      <c r="P43" s="9"/>
      <c r="Q43" s="9"/>
      <c r="AJ43" s="6" t="s">
        <v>99</v>
      </c>
      <c r="AK43" s="6">
        <f>F43</f>
        <v>0</v>
      </c>
      <c r="AL43" s="6">
        <f>IF(G43=0,0,IF(G43&lt;7,1,IF(G43&lt;7.5,2,IF(G43&lt;8,3,IF(G43&lt;8.5,4,IF(G43&lt;9,5,IF(G43&lt;9.5,6,IF(G43&lt;10,7,IF(G43&lt;10.5,8,IF(G43&lt;11,9,IF(G43&lt;11.5,10,IF(G43&lt;12,11,IF(G43=12,12,0)))))))))))))</f>
        <v>0</v>
      </c>
      <c r="AM43" s="6" t="e">
        <f>IF(AL43=0,0,IF(AK43=0,0,VLOOKUP(AL43,Data!$P$19:$AC$30,AK43+2)))*AN43</f>
        <v>#DIV/0!</v>
      </c>
      <c r="AN43" s="6" t="e">
        <f t="shared" si="6"/>
        <v>#DIV/0!</v>
      </c>
    </row>
    <row r="44" spans="1:40" x14ac:dyDescent="0.25">
      <c r="A44" s="9"/>
      <c r="B44" s="9"/>
      <c r="C44" s="9"/>
      <c r="D44" s="9"/>
      <c r="E44" s="14">
        <f t="shared" si="44"/>
        <v>0</v>
      </c>
      <c r="F44" s="9">
        <v>0</v>
      </c>
      <c r="G44" s="9">
        <v>0</v>
      </c>
      <c r="H44" s="9" t="e">
        <f t="shared" ref="H44:H46" si="45">AM44</f>
        <v>#DIV/0!</v>
      </c>
      <c r="I44" s="9"/>
      <c r="J44" s="23"/>
      <c r="K44" s="23">
        <f>IF(J44=0,0,IF(J44&lt;=2,20,IF(J44&lt;=4,15,IF(J44&lt;=6,12,IF(J44&lt;=10,9,IF(J44&gt;=11,6,0))))))</f>
        <v>0</v>
      </c>
      <c r="L44" s="23"/>
      <c r="M44" s="23">
        <f>IF(L44=0,0,IF(L44&lt;=3,25,IF(L44&lt;=6,20,IF(L44&gt;=7,17,0))))</f>
        <v>0</v>
      </c>
      <c r="N44" s="9">
        <f t="shared" ref="N44:N45" si="46">SUM(M44,K44)</f>
        <v>0</v>
      </c>
      <c r="O44" s="9"/>
      <c r="P44" s="9"/>
      <c r="Q44" s="9"/>
      <c r="AJ44" s="6" t="s">
        <v>100</v>
      </c>
      <c r="AK44" s="6">
        <f t="shared" ref="AK44:AK45" si="47">F44</f>
        <v>0</v>
      </c>
      <c r="AL44" s="6">
        <f>IF(G44=0,0,IF(G44&lt;4.5,1,IF(G44&lt;5,2,IF(G44&lt;5.5,3,IF(G44&lt;6,4,IF(G44&lt;=6.5,5,0))))))</f>
        <v>0</v>
      </c>
      <c r="AM44" s="6" t="e">
        <f>IF(AL44=0,0,IF(AK44=0,0,VLOOKUP(AL44,Data!$B$19:$O$23,AK44+2)))*AN44</f>
        <v>#DIV/0!</v>
      </c>
      <c r="AN44" s="6" t="e">
        <f t="shared" si="6"/>
        <v>#DIV/0!</v>
      </c>
    </row>
    <row r="45" spans="1:40" x14ac:dyDescent="0.25">
      <c r="A45" s="9"/>
      <c r="B45" s="9"/>
      <c r="C45" s="9"/>
      <c r="D45" s="9"/>
      <c r="E45" s="14">
        <f t="shared" si="44"/>
        <v>0</v>
      </c>
      <c r="F45" s="9">
        <v>0</v>
      </c>
      <c r="G45" s="9">
        <v>0</v>
      </c>
      <c r="H45" s="9" t="e">
        <f t="shared" si="45"/>
        <v>#DIV/0!</v>
      </c>
      <c r="I45" s="9"/>
      <c r="J45" s="23"/>
      <c r="K45" s="23">
        <f>IF(J45=0,0,IF(J45=1,16,IF(J45=2,14,IF(J45&lt;=6,12,IF(J45&lt;=10,9,IF(J45&gt;=11,6,0))))))</f>
        <v>0</v>
      </c>
      <c r="L45" s="23"/>
      <c r="M45" s="23">
        <f>IF(L45=0,0,IF(L45&lt;=2,22,IF(L45&gt;=3,16,0)))</f>
        <v>0</v>
      </c>
      <c r="N45" s="9">
        <f t="shared" si="46"/>
        <v>0</v>
      </c>
      <c r="O45" s="9"/>
      <c r="P45" s="9"/>
      <c r="Q45" s="9"/>
      <c r="AJ45" s="6" t="s">
        <v>101</v>
      </c>
      <c r="AK45" s="6">
        <f t="shared" si="47"/>
        <v>0</v>
      </c>
      <c r="AL45" s="6">
        <f>IF(G45=0,0,IF(G45&lt;20.5,1,IF(G45&lt;21,2,IF(G45&lt;21.5,3,IF(G45&lt;22,4,IF(G45&gt;=22,5,0))))))</f>
        <v>0</v>
      </c>
      <c r="AM45" s="6" t="e">
        <f>IF(AL45=0,0,IF(AK45=0,0,VLOOKUP(AL45,Data!$AD$19:$AK$23,AK45+2)))*AN45</f>
        <v>#DIV/0!</v>
      </c>
      <c r="AN45" s="6" t="e">
        <f t="shared" si="6"/>
        <v>#DIV/0!</v>
      </c>
    </row>
    <row r="46" spans="1:40" x14ac:dyDescent="0.25">
      <c r="A46" s="9"/>
      <c r="B46" s="9"/>
      <c r="C46" s="9"/>
      <c r="D46" s="9"/>
      <c r="E46" s="14">
        <f t="shared" si="44"/>
        <v>0</v>
      </c>
      <c r="F46" s="9">
        <f>AK46</f>
        <v>0</v>
      </c>
      <c r="G46" s="9">
        <f>AL46</f>
        <v>0</v>
      </c>
      <c r="H46" s="9" t="e">
        <f t="shared" si="45"/>
        <v>#DIV/0!</v>
      </c>
      <c r="I46" s="9"/>
      <c r="J46" s="9"/>
      <c r="K46" s="9">
        <f>SUM(K43:K45)</f>
        <v>0</v>
      </c>
      <c r="L46" s="9"/>
      <c r="M46" s="9">
        <f>SUM(M43:M45)</f>
        <v>0</v>
      </c>
      <c r="N46" s="9">
        <f>SUM(N43:N45)</f>
        <v>0</v>
      </c>
      <c r="O46" s="9" t="e">
        <f>H46-N46</f>
        <v>#DIV/0!</v>
      </c>
      <c r="P46" s="9" t="e">
        <f>O46/31</f>
        <v>#DIV/0!</v>
      </c>
      <c r="Q46" s="9"/>
      <c r="AJ46" s="6" t="s">
        <v>63</v>
      </c>
      <c r="AK46" s="6">
        <f>SUM(AK43:AK45)</f>
        <v>0</v>
      </c>
      <c r="AL46" s="6">
        <f>SUM(AL43:AL45)</f>
        <v>0</v>
      </c>
      <c r="AM46" s="6" t="e">
        <f>SUM(AM43:AM45)</f>
        <v>#DIV/0!</v>
      </c>
    </row>
    <row r="47" spans="1:40" x14ac:dyDescent="0.25">
      <c r="A47" s="9"/>
      <c r="B47" s="9"/>
      <c r="C47" s="9"/>
      <c r="D47" s="9"/>
      <c r="E47" s="14">
        <f>IF($C$2&gt;=10,AJ47,0)</f>
        <v>0</v>
      </c>
      <c r="F47" s="14">
        <f t="shared" ref="F47:H47" si="48">IF($C$2&gt;=10,AK47,0)</f>
        <v>0</v>
      </c>
      <c r="G47" s="14">
        <f t="shared" si="48"/>
        <v>0</v>
      </c>
      <c r="H47" s="14">
        <f t="shared" si="48"/>
        <v>0</v>
      </c>
      <c r="I47" s="14"/>
      <c r="J47" s="53">
        <f>IF($C$2&gt;=10,$AO$2,0)</f>
        <v>0</v>
      </c>
      <c r="K47" s="53"/>
      <c r="L47" s="53">
        <f>IF($C$2&gt;=10,$AQ$2,0)</f>
        <v>0</v>
      </c>
      <c r="M47" s="53"/>
      <c r="N47" s="25">
        <f>IF($C$2&gt;=10,$AS$2,0)</f>
        <v>0</v>
      </c>
      <c r="O47" s="25">
        <f>IF($C$2&gt;=10,$AT$2,0)</f>
        <v>0</v>
      </c>
      <c r="P47" s="25">
        <f>IF($C$2&gt;=10,$AU$2,0)</f>
        <v>0</v>
      </c>
      <c r="Q47" s="9"/>
      <c r="AJ47" s="6" t="s">
        <v>110</v>
      </c>
      <c r="AK47" s="6" t="s">
        <v>111</v>
      </c>
      <c r="AL47" s="6" t="s">
        <v>112</v>
      </c>
      <c r="AM47" s="6" t="s">
        <v>113</v>
      </c>
    </row>
    <row r="48" spans="1:40" x14ac:dyDescent="0.25">
      <c r="A48" s="9"/>
      <c r="B48" s="9"/>
      <c r="C48" s="9"/>
      <c r="D48" s="9"/>
      <c r="E48" s="14">
        <f t="shared" ref="E48:E51" si="49">IF($C$2&gt;=10,AJ48,0)</f>
        <v>0</v>
      </c>
      <c r="F48" s="9"/>
      <c r="G48" s="9">
        <v>0</v>
      </c>
      <c r="H48" s="9" t="e">
        <f>AM48</f>
        <v>#DIV/0!</v>
      </c>
      <c r="I48" s="9"/>
      <c r="J48" s="23"/>
      <c r="K48" s="23">
        <f>IF(J48=0,0,IF(J48&lt;=2,20,IF(J48&lt;=4,15,IF(J48&lt;=6,12,IF(J48&lt;=10,9,IF(J48&gt;=11,6,0))))))</f>
        <v>0</v>
      </c>
      <c r="L48" s="23"/>
      <c r="M48" s="23">
        <f>IF(L48=0,0,IF(L48&lt;=3,25,IF(L48&lt;=6,20,IF(L48&gt;=7,17,0))))</f>
        <v>0</v>
      </c>
      <c r="N48" s="9">
        <f>SUM(M48,K48)</f>
        <v>0</v>
      </c>
      <c r="O48" s="9"/>
      <c r="P48" s="9"/>
      <c r="Q48" s="9"/>
      <c r="AJ48" s="6" t="s">
        <v>99</v>
      </c>
      <c r="AK48" s="6">
        <f>F48</f>
        <v>0</v>
      </c>
      <c r="AL48" s="6">
        <f>IF(G48=0,0,IF(G48&lt;7,1,IF(G48&lt;7.5,2,IF(G48&lt;8,3,IF(G48&lt;8.5,4,IF(G48&lt;9,5,IF(G48&lt;9.5,6,IF(G48&lt;10,7,IF(G48&lt;10.5,8,IF(G48&lt;11,9,IF(G48&lt;11.5,10,IF(G48&lt;12,11,IF(G48=12,12,0)))))))))))))</f>
        <v>0</v>
      </c>
      <c r="AM48" s="6" t="e">
        <f>IF(AL48=0,0,IF(AK48=0,0,VLOOKUP(AL48,Data!$P$19:$AC$30,AK48+2)))*AN48</f>
        <v>#DIV/0!</v>
      </c>
      <c r="AN48" s="6" t="e">
        <f t="shared" si="6"/>
        <v>#DIV/0!</v>
      </c>
    </row>
    <row r="49" spans="1:40" x14ac:dyDescent="0.25">
      <c r="A49" s="9"/>
      <c r="B49" s="9"/>
      <c r="C49" s="9"/>
      <c r="D49" s="9"/>
      <c r="E49" s="14">
        <f t="shared" si="49"/>
        <v>0</v>
      </c>
      <c r="F49" s="9">
        <v>0</v>
      </c>
      <c r="G49" s="9">
        <v>0</v>
      </c>
      <c r="H49" s="9" t="e">
        <f t="shared" ref="H49:H51" si="50">AM49</f>
        <v>#DIV/0!</v>
      </c>
      <c r="I49" s="9"/>
      <c r="J49" s="23"/>
      <c r="K49" s="23">
        <f>IF(J49=0,0,IF(J49&lt;=2,20,IF(J49&lt;=4,15,IF(J49&lt;=6,12,IF(J49&lt;=10,9,IF(J49&gt;=11,6,0))))))</f>
        <v>0</v>
      </c>
      <c r="L49" s="23"/>
      <c r="M49" s="23">
        <f>IF(L49=0,0,IF(L49&lt;=3,25,IF(L49&lt;=6,20,IF(L49&gt;=7,17,0))))</f>
        <v>0</v>
      </c>
      <c r="N49" s="9">
        <f t="shared" ref="N49:N50" si="51">SUM(M49,K49)</f>
        <v>0</v>
      </c>
      <c r="O49" s="9"/>
      <c r="P49" s="9"/>
      <c r="Q49" s="9"/>
      <c r="AJ49" s="6" t="s">
        <v>100</v>
      </c>
      <c r="AK49" s="6">
        <f t="shared" ref="AK49:AK50" si="52">F49</f>
        <v>0</v>
      </c>
      <c r="AL49" s="6">
        <f>IF(G49=0,0,IF(G49&lt;4.5,1,IF(G49&lt;5,2,IF(G49&lt;5.5,3,IF(G49&lt;6,4,IF(G49&lt;=6.5,5,0))))))</f>
        <v>0</v>
      </c>
      <c r="AM49" s="6" t="e">
        <f>IF(AL49=0,0,IF(AK49=0,0,VLOOKUP(AL49,Data!$B$19:$O$23,AK49+2)))*AN49</f>
        <v>#DIV/0!</v>
      </c>
      <c r="AN49" s="6" t="e">
        <f t="shared" si="6"/>
        <v>#DIV/0!</v>
      </c>
    </row>
    <row r="50" spans="1:40" x14ac:dyDescent="0.25">
      <c r="A50" s="9"/>
      <c r="B50" s="9"/>
      <c r="C50" s="9"/>
      <c r="D50" s="9"/>
      <c r="E50" s="14">
        <f t="shared" si="49"/>
        <v>0</v>
      </c>
      <c r="F50" s="9">
        <v>0</v>
      </c>
      <c r="G50" s="9">
        <v>0</v>
      </c>
      <c r="H50" s="9" t="e">
        <f t="shared" si="50"/>
        <v>#DIV/0!</v>
      </c>
      <c r="I50" s="9"/>
      <c r="J50" s="23"/>
      <c r="K50" s="23">
        <f>IF(J50=0,0,IF(J50=1,16,IF(J50=2,14,IF(J50&lt;=6,12,IF(J50&lt;=10,9,IF(J50&gt;=11,6,0))))))</f>
        <v>0</v>
      </c>
      <c r="L50" s="23"/>
      <c r="M50" s="23">
        <f>IF(L50=0,0,IF(L50&lt;=2,22,IF(L50&gt;=3,16,0)))</f>
        <v>0</v>
      </c>
      <c r="N50" s="9">
        <f t="shared" si="51"/>
        <v>0</v>
      </c>
      <c r="O50" s="9"/>
      <c r="P50" s="9"/>
      <c r="Q50" s="9"/>
      <c r="AJ50" s="6" t="s">
        <v>101</v>
      </c>
      <c r="AK50" s="6">
        <f t="shared" si="52"/>
        <v>0</v>
      </c>
      <c r="AL50" s="6">
        <f>IF(G50=0,0,IF(G50&lt;20.5,1,IF(G50&lt;21,2,IF(G50&lt;21.5,3,IF(G50&lt;22,4,IF(G50&gt;=22,5,0))))))</f>
        <v>0</v>
      </c>
      <c r="AM50" s="6" t="e">
        <f>IF(AL50=0,0,IF(AK50=0,0,VLOOKUP(AL50,Data!$AD$19:$AK$23,AK50+2)))*AN50</f>
        <v>#DIV/0!</v>
      </c>
      <c r="AN50" s="6" t="e">
        <f t="shared" si="6"/>
        <v>#DIV/0!</v>
      </c>
    </row>
    <row r="51" spans="1:40" x14ac:dyDescent="0.25">
      <c r="A51" s="9"/>
      <c r="B51" s="9"/>
      <c r="C51" s="9"/>
      <c r="D51" s="9"/>
      <c r="E51" s="14">
        <f t="shared" si="49"/>
        <v>0</v>
      </c>
      <c r="F51" s="9">
        <f>AK51</f>
        <v>0</v>
      </c>
      <c r="G51" s="9">
        <f>AL51</f>
        <v>0</v>
      </c>
      <c r="H51" s="9" t="e">
        <f t="shared" si="50"/>
        <v>#DIV/0!</v>
      </c>
      <c r="I51" s="9"/>
      <c r="J51" s="9"/>
      <c r="K51" s="9">
        <f>SUM(K48:K50)</f>
        <v>0</v>
      </c>
      <c r="L51" s="9"/>
      <c r="M51" s="9">
        <f>SUM(M48:M50)</f>
        <v>0</v>
      </c>
      <c r="N51" s="9">
        <f>SUM(N48:N50)</f>
        <v>0</v>
      </c>
      <c r="O51" s="9" t="e">
        <f>H51-N51</f>
        <v>#DIV/0!</v>
      </c>
      <c r="P51" s="9" t="e">
        <f>O51/31</f>
        <v>#DIV/0!</v>
      </c>
      <c r="Q51" s="9"/>
      <c r="AJ51" s="6" t="s">
        <v>63</v>
      </c>
      <c r="AK51" s="6">
        <f>SUM(AK48:AK50)</f>
        <v>0</v>
      </c>
      <c r="AL51" s="6">
        <f>SUM(AL48:AL50)</f>
        <v>0</v>
      </c>
      <c r="AM51" s="6" t="e">
        <f>SUM(AM48:AM50)</f>
        <v>#DIV/0!</v>
      </c>
    </row>
    <row r="52" spans="1:4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</sheetData>
  <mergeCells count="21">
    <mergeCell ref="J47:K47"/>
    <mergeCell ref="L47:M47"/>
    <mergeCell ref="B10:C28"/>
    <mergeCell ref="J32:K32"/>
    <mergeCell ref="L32:M32"/>
    <mergeCell ref="J37:K37"/>
    <mergeCell ref="L37:M37"/>
    <mergeCell ref="J42:K42"/>
    <mergeCell ref="L42:M42"/>
    <mergeCell ref="J17:K17"/>
    <mergeCell ref="L17:M17"/>
    <mergeCell ref="J22:K22"/>
    <mergeCell ref="L22:M22"/>
    <mergeCell ref="J27:K27"/>
    <mergeCell ref="L27:M27"/>
    <mergeCell ref="J2:K2"/>
    <mergeCell ref="L2:M2"/>
    <mergeCell ref="J7:K7"/>
    <mergeCell ref="L7:M7"/>
    <mergeCell ref="J12:K12"/>
    <mergeCell ref="L12:M12"/>
  </mergeCells>
  <conditionalFormatting sqref="F7:I7 F12:I12 F17:I17 F22:I22 F27:I27 F32:I32 F37:I37 F42:I42 F47:I47 E2:E51">
    <cfRule type="cellIs" dxfId="284" priority="276" operator="notEqual">
      <formula>0</formula>
    </cfRule>
    <cfRule type="cellIs" dxfId="283" priority="277" operator="equal">
      <formula>0</formula>
    </cfRule>
  </conditionalFormatting>
  <conditionalFormatting sqref="F2:J2 L2 P2">
    <cfRule type="cellIs" dxfId="282" priority="274" operator="notEqual">
      <formula>0</formula>
    </cfRule>
    <cfRule type="cellIs" dxfId="281" priority="275" operator="equal">
      <formula>0</formula>
    </cfRule>
  </conditionalFormatting>
  <conditionalFormatting sqref="F3:P6">
    <cfRule type="cellIs" dxfId="280" priority="272" operator="notEqual">
      <formula>0</formula>
    </cfRule>
    <cfRule type="cellIs" dxfId="279" priority="273" operator="equal">
      <formula>0</formula>
    </cfRule>
  </conditionalFormatting>
  <conditionalFormatting sqref="F8:I10">
    <cfRule type="cellIs" dxfId="278" priority="270" operator="notEqual">
      <formula>0</formula>
    </cfRule>
    <cfRule type="cellIs" dxfId="277" priority="271" operator="equal">
      <formula>0</formula>
    </cfRule>
  </conditionalFormatting>
  <conditionalFormatting sqref="F13:I15">
    <cfRule type="cellIs" dxfId="276" priority="268" operator="notEqual">
      <formula>0</formula>
    </cfRule>
    <cfRule type="cellIs" dxfId="275" priority="269" operator="equal">
      <formula>0</formula>
    </cfRule>
  </conditionalFormatting>
  <conditionalFormatting sqref="F18:I20">
    <cfRule type="cellIs" dxfId="274" priority="266" operator="notEqual">
      <formula>0</formula>
    </cfRule>
    <cfRule type="cellIs" dxfId="273" priority="267" operator="equal">
      <formula>0</formula>
    </cfRule>
  </conditionalFormatting>
  <conditionalFormatting sqref="F23:I25">
    <cfRule type="cellIs" dxfId="272" priority="264" operator="notEqual">
      <formula>0</formula>
    </cfRule>
    <cfRule type="cellIs" dxfId="271" priority="265" operator="equal">
      <formula>0</formula>
    </cfRule>
  </conditionalFormatting>
  <conditionalFormatting sqref="F28:I30">
    <cfRule type="cellIs" dxfId="270" priority="262" operator="notEqual">
      <formula>0</formula>
    </cfRule>
    <cfRule type="cellIs" dxfId="269" priority="263" operator="equal">
      <formula>0</formula>
    </cfRule>
  </conditionalFormatting>
  <conditionalFormatting sqref="F33:I35">
    <cfRule type="cellIs" dxfId="268" priority="260" operator="notEqual">
      <formula>0</formula>
    </cfRule>
    <cfRule type="cellIs" dxfId="267" priority="261" operator="equal">
      <formula>0</formula>
    </cfRule>
  </conditionalFormatting>
  <conditionalFormatting sqref="F38:I40">
    <cfRule type="cellIs" dxfId="266" priority="258" operator="notEqual">
      <formula>0</formula>
    </cfRule>
    <cfRule type="cellIs" dxfId="265" priority="259" operator="equal">
      <formula>0</formula>
    </cfRule>
  </conditionalFormatting>
  <conditionalFormatting sqref="F43:I45">
    <cfRule type="cellIs" dxfId="264" priority="256" operator="notEqual">
      <formula>0</formula>
    </cfRule>
    <cfRule type="cellIs" dxfId="263" priority="257" operator="equal">
      <formula>0</formula>
    </cfRule>
  </conditionalFormatting>
  <conditionalFormatting sqref="F48:I50">
    <cfRule type="cellIs" dxfId="262" priority="254" operator="notEqual">
      <formula>0</formula>
    </cfRule>
    <cfRule type="cellIs" dxfId="261" priority="255" operator="equal">
      <formula>0</formula>
    </cfRule>
  </conditionalFormatting>
  <conditionalFormatting sqref="C5:C6">
    <cfRule type="containsErrors" dxfId="260" priority="253">
      <formula>ISERROR(C5)</formula>
    </cfRule>
  </conditionalFormatting>
  <conditionalFormatting sqref="C6">
    <cfRule type="cellIs" dxfId="259" priority="252" operator="equal">
      <formula>0</formula>
    </cfRule>
  </conditionalFormatting>
  <conditionalFormatting sqref="F11:I11">
    <cfRule type="cellIs" dxfId="258" priority="250" operator="notEqual">
      <formula>0</formula>
    </cfRule>
    <cfRule type="cellIs" dxfId="257" priority="251" operator="equal">
      <formula>0</formula>
    </cfRule>
  </conditionalFormatting>
  <conditionalFormatting sqref="F16:I16">
    <cfRule type="cellIs" dxfId="256" priority="248" operator="notEqual">
      <formula>0</formula>
    </cfRule>
    <cfRule type="cellIs" dxfId="255" priority="249" operator="equal">
      <formula>0</formula>
    </cfRule>
  </conditionalFormatting>
  <conditionalFormatting sqref="F21:I21">
    <cfRule type="cellIs" dxfId="254" priority="246" operator="notEqual">
      <formula>0</formula>
    </cfRule>
    <cfRule type="cellIs" dxfId="253" priority="247" operator="equal">
      <formula>0</formula>
    </cfRule>
  </conditionalFormatting>
  <conditionalFormatting sqref="F26:I26">
    <cfRule type="cellIs" dxfId="252" priority="244" operator="notEqual">
      <formula>0</formula>
    </cfRule>
    <cfRule type="cellIs" dxfId="251" priority="245" operator="equal">
      <formula>0</formula>
    </cfRule>
  </conditionalFormatting>
  <conditionalFormatting sqref="F31:I31">
    <cfRule type="cellIs" dxfId="250" priority="242" operator="notEqual">
      <formula>0</formula>
    </cfRule>
    <cfRule type="cellIs" dxfId="249" priority="243" operator="equal">
      <formula>0</formula>
    </cfRule>
  </conditionalFormatting>
  <conditionalFormatting sqref="F36:I36">
    <cfRule type="cellIs" dxfId="248" priority="240" operator="notEqual">
      <formula>0</formula>
    </cfRule>
    <cfRule type="cellIs" dxfId="247" priority="241" operator="equal">
      <formula>0</formula>
    </cfRule>
  </conditionalFormatting>
  <conditionalFormatting sqref="F41:I41">
    <cfRule type="cellIs" dxfId="246" priority="238" operator="notEqual">
      <formula>0</formula>
    </cfRule>
    <cfRule type="cellIs" dxfId="245" priority="239" operator="equal">
      <formula>0</formula>
    </cfRule>
  </conditionalFormatting>
  <conditionalFormatting sqref="F46:I46">
    <cfRule type="cellIs" dxfId="244" priority="236" operator="notEqual">
      <formula>0</formula>
    </cfRule>
    <cfRule type="cellIs" dxfId="243" priority="237" operator="equal">
      <formula>0</formula>
    </cfRule>
  </conditionalFormatting>
  <conditionalFormatting sqref="F51:I51">
    <cfRule type="cellIs" dxfId="242" priority="234" operator="notEqual">
      <formula>0</formula>
    </cfRule>
    <cfRule type="cellIs" dxfId="241" priority="235" operator="equal">
      <formula>0</formula>
    </cfRule>
  </conditionalFormatting>
  <conditionalFormatting sqref="C7">
    <cfRule type="containsErrors" dxfId="240" priority="175">
      <formula>ISERROR(C7)</formula>
    </cfRule>
    <cfRule type="cellIs" dxfId="239" priority="233" operator="equal">
      <formula>0</formula>
    </cfRule>
  </conditionalFormatting>
  <conditionalFormatting sqref="N2:P2">
    <cfRule type="cellIs" dxfId="238" priority="231" operator="notEqual">
      <formula>0</formula>
    </cfRule>
    <cfRule type="cellIs" dxfId="237" priority="232" operator="equal">
      <formula>0</formula>
    </cfRule>
  </conditionalFormatting>
  <conditionalFormatting sqref="J7 L7 P7">
    <cfRule type="cellIs" dxfId="236" priority="229" operator="notEqual">
      <formula>0</formula>
    </cfRule>
    <cfRule type="cellIs" dxfId="235" priority="230" operator="equal">
      <formula>0</formula>
    </cfRule>
  </conditionalFormatting>
  <conditionalFormatting sqref="J8:P11">
    <cfRule type="cellIs" dxfId="234" priority="227" operator="notEqual">
      <formula>0</formula>
    </cfRule>
    <cfRule type="cellIs" dxfId="233" priority="228" operator="equal">
      <formula>0</formula>
    </cfRule>
  </conditionalFormatting>
  <conditionalFormatting sqref="N7:O7">
    <cfRule type="cellIs" dxfId="232" priority="225" operator="notEqual">
      <formula>0</formula>
    </cfRule>
    <cfRule type="cellIs" dxfId="231" priority="226" operator="equal">
      <formula>0</formula>
    </cfRule>
  </conditionalFormatting>
  <conditionalFormatting sqref="J12 L12 P12">
    <cfRule type="cellIs" dxfId="230" priority="223" operator="notEqual">
      <formula>0</formula>
    </cfRule>
    <cfRule type="cellIs" dxfId="229" priority="224" operator="equal">
      <formula>0</formula>
    </cfRule>
  </conditionalFormatting>
  <conditionalFormatting sqref="J13:P16">
    <cfRule type="cellIs" dxfId="228" priority="221" operator="notEqual">
      <formula>0</formula>
    </cfRule>
    <cfRule type="cellIs" dxfId="227" priority="222" operator="equal">
      <formula>0</formula>
    </cfRule>
  </conditionalFormatting>
  <conditionalFormatting sqref="N12:O12">
    <cfRule type="cellIs" dxfId="226" priority="219" operator="notEqual">
      <formula>0</formula>
    </cfRule>
    <cfRule type="cellIs" dxfId="225" priority="220" operator="equal">
      <formula>0</formula>
    </cfRule>
  </conditionalFormatting>
  <conditionalFormatting sqref="J17 L17 P17">
    <cfRule type="cellIs" dxfId="224" priority="217" operator="notEqual">
      <formula>0</formula>
    </cfRule>
    <cfRule type="cellIs" dxfId="223" priority="218" operator="equal">
      <formula>0</formula>
    </cfRule>
  </conditionalFormatting>
  <conditionalFormatting sqref="J18:P21">
    <cfRule type="cellIs" dxfId="222" priority="215" operator="notEqual">
      <formula>0</formula>
    </cfRule>
    <cfRule type="cellIs" dxfId="221" priority="216" operator="equal">
      <formula>0</formula>
    </cfRule>
  </conditionalFormatting>
  <conditionalFormatting sqref="N17:O17">
    <cfRule type="cellIs" dxfId="220" priority="213" operator="notEqual">
      <formula>0</formula>
    </cfRule>
    <cfRule type="cellIs" dxfId="219" priority="214" operator="equal">
      <formula>0</formula>
    </cfRule>
  </conditionalFormatting>
  <conditionalFormatting sqref="J22 L22 P22">
    <cfRule type="cellIs" dxfId="218" priority="211" operator="notEqual">
      <formula>0</formula>
    </cfRule>
    <cfRule type="cellIs" dxfId="217" priority="212" operator="equal">
      <formula>0</formula>
    </cfRule>
  </conditionalFormatting>
  <conditionalFormatting sqref="J23:P26">
    <cfRule type="cellIs" dxfId="216" priority="209" operator="notEqual">
      <formula>0</formula>
    </cfRule>
    <cfRule type="cellIs" dxfId="215" priority="210" operator="equal">
      <formula>0</formula>
    </cfRule>
  </conditionalFormatting>
  <conditionalFormatting sqref="N22:O22">
    <cfRule type="cellIs" dxfId="214" priority="207" operator="notEqual">
      <formula>0</formula>
    </cfRule>
    <cfRule type="cellIs" dxfId="213" priority="208" operator="equal">
      <formula>0</formula>
    </cfRule>
  </conditionalFormatting>
  <conditionalFormatting sqref="J27 L27 P27">
    <cfRule type="cellIs" dxfId="212" priority="205" operator="notEqual">
      <formula>0</formula>
    </cfRule>
    <cfRule type="cellIs" dxfId="211" priority="206" operator="equal">
      <formula>0</formula>
    </cfRule>
  </conditionalFormatting>
  <conditionalFormatting sqref="J28:P31">
    <cfRule type="cellIs" dxfId="210" priority="203" operator="notEqual">
      <formula>0</formula>
    </cfRule>
    <cfRule type="cellIs" dxfId="209" priority="204" operator="equal">
      <formula>0</formula>
    </cfRule>
  </conditionalFormatting>
  <conditionalFormatting sqref="N27:O27">
    <cfRule type="cellIs" dxfId="208" priority="201" operator="notEqual">
      <formula>0</formula>
    </cfRule>
    <cfRule type="cellIs" dxfId="207" priority="202" operator="equal">
      <formula>0</formula>
    </cfRule>
  </conditionalFormatting>
  <conditionalFormatting sqref="J32 L32 P32">
    <cfRule type="cellIs" dxfId="206" priority="199" operator="notEqual">
      <formula>0</formula>
    </cfRule>
    <cfRule type="cellIs" dxfId="205" priority="200" operator="equal">
      <formula>0</formula>
    </cfRule>
  </conditionalFormatting>
  <conditionalFormatting sqref="J33:P36">
    <cfRule type="cellIs" dxfId="204" priority="197" operator="notEqual">
      <formula>0</formula>
    </cfRule>
    <cfRule type="cellIs" dxfId="203" priority="198" operator="equal">
      <formula>0</formula>
    </cfRule>
  </conditionalFormatting>
  <conditionalFormatting sqref="N32:O32">
    <cfRule type="cellIs" dxfId="202" priority="195" operator="notEqual">
      <formula>0</formula>
    </cfRule>
    <cfRule type="cellIs" dxfId="201" priority="196" operator="equal">
      <formula>0</formula>
    </cfRule>
  </conditionalFormatting>
  <conditionalFormatting sqref="J37 L37 P37">
    <cfRule type="cellIs" dxfId="200" priority="193" operator="notEqual">
      <formula>0</formula>
    </cfRule>
    <cfRule type="cellIs" dxfId="199" priority="194" operator="equal">
      <formula>0</formula>
    </cfRule>
  </conditionalFormatting>
  <conditionalFormatting sqref="J38:P41">
    <cfRule type="cellIs" dxfId="198" priority="191" operator="notEqual">
      <formula>0</formula>
    </cfRule>
    <cfRule type="cellIs" dxfId="197" priority="192" operator="equal">
      <formula>0</formula>
    </cfRule>
  </conditionalFormatting>
  <conditionalFormatting sqref="N37:O37">
    <cfRule type="cellIs" dxfId="196" priority="189" operator="notEqual">
      <formula>0</formula>
    </cfRule>
    <cfRule type="cellIs" dxfId="195" priority="190" operator="equal">
      <formula>0</formula>
    </cfRule>
  </conditionalFormatting>
  <conditionalFormatting sqref="J42 L42 P42">
    <cfRule type="cellIs" dxfId="194" priority="187" operator="notEqual">
      <formula>0</formula>
    </cfRule>
    <cfRule type="cellIs" dxfId="193" priority="188" operator="equal">
      <formula>0</formula>
    </cfRule>
  </conditionalFormatting>
  <conditionalFormatting sqref="J43:P46">
    <cfRule type="cellIs" dxfId="192" priority="185" operator="notEqual">
      <formula>0</formula>
    </cfRule>
    <cfRule type="cellIs" dxfId="191" priority="186" operator="equal">
      <formula>0</formula>
    </cfRule>
  </conditionalFormatting>
  <conditionalFormatting sqref="N42:O42">
    <cfRule type="cellIs" dxfId="190" priority="183" operator="notEqual">
      <formula>0</formula>
    </cfRule>
    <cfRule type="cellIs" dxfId="189" priority="184" operator="equal">
      <formula>0</formula>
    </cfRule>
  </conditionalFormatting>
  <conditionalFormatting sqref="J47 L47 P47">
    <cfRule type="cellIs" dxfId="188" priority="181" operator="notEqual">
      <formula>0</formula>
    </cfRule>
    <cfRule type="cellIs" dxfId="187" priority="182" operator="equal">
      <formula>0</formula>
    </cfRule>
  </conditionalFormatting>
  <conditionalFormatting sqref="J48:P51">
    <cfRule type="cellIs" dxfId="186" priority="179" operator="notEqual">
      <formula>0</formula>
    </cfRule>
    <cfRule type="cellIs" dxfId="185" priority="180" operator="equal">
      <formula>0</formula>
    </cfRule>
  </conditionalFormatting>
  <conditionalFormatting sqref="N47:O47">
    <cfRule type="cellIs" dxfId="184" priority="177" operator="notEqual">
      <formula>0</formula>
    </cfRule>
    <cfRule type="cellIs" dxfId="183" priority="178" operator="equal">
      <formula>0</formula>
    </cfRule>
  </conditionalFormatting>
  <conditionalFormatting sqref="H1:Q53">
    <cfRule type="containsErrors" dxfId="182" priority="176">
      <formula>ISERROR(H1)</formula>
    </cfRule>
  </conditionalFormatting>
  <conditionalFormatting sqref="J7 L7 P7">
    <cfRule type="cellIs" dxfId="181" priority="173" operator="notEqual">
      <formula>0</formula>
    </cfRule>
    <cfRule type="cellIs" dxfId="180" priority="174" operator="equal">
      <formula>0</formula>
    </cfRule>
  </conditionalFormatting>
  <conditionalFormatting sqref="N7:P7">
    <cfRule type="cellIs" dxfId="179" priority="171" operator="notEqual">
      <formula>0</formula>
    </cfRule>
    <cfRule type="cellIs" dxfId="178" priority="172" operator="equal">
      <formula>0</formula>
    </cfRule>
  </conditionalFormatting>
  <conditionalFormatting sqref="J12 L12 P12">
    <cfRule type="cellIs" dxfId="177" priority="169" operator="notEqual">
      <formula>0</formula>
    </cfRule>
    <cfRule type="cellIs" dxfId="176" priority="170" operator="equal">
      <formula>0</formula>
    </cfRule>
  </conditionalFormatting>
  <conditionalFormatting sqref="N12:P12">
    <cfRule type="cellIs" dxfId="175" priority="167" operator="notEqual">
      <formula>0</formula>
    </cfRule>
    <cfRule type="cellIs" dxfId="174" priority="168" operator="equal">
      <formula>0</formula>
    </cfRule>
  </conditionalFormatting>
  <conditionalFormatting sqref="J17 L17 P17">
    <cfRule type="cellIs" dxfId="173" priority="165" operator="notEqual">
      <formula>0</formula>
    </cfRule>
    <cfRule type="cellIs" dxfId="172" priority="166" operator="equal">
      <formula>0</formula>
    </cfRule>
  </conditionalFormatting>
  <conditionalFormatting sqref="N17:P17">
    <cfRule type="cellIs" dxfId="171" priority="163" operator="notEqual">
      <formula>0</formula>
    </cfRule>
    <cfRule type="cellIs" dxfId="170" priority="164" operator="equal">
      <formula>0</formula>
    </cfRule>
  </conditionalFormatting>
  <conditionalFormatting sqref="J22 L22 P22">
    <cfRule type="cellIs" dxfId="169" priority="161" operator="notEqual">
      <formula>0</formula>
    </cfRule>
    <cfRule type="cellIs" dxfId="168" priority="162" operator="equal">
      <formula>0</formula>
    </cfRule>
  </conditionalFormatting>
  <conditionalFormatting sqref="N22:P22">
    <cfRule type="cellIs" dxfId="167" priority="159" operator="notEqual">
      <formula>0</formula>
    </cfRule>
    <cfRule type="cellIs" dxfId="166" priority="160" operator="equal">
      <formula>0</formula>
    </cfRule>
  </conditionalFormatting>
  <conditionalFormatting sqref="J27 L27 P27">
    <cfRule type="cellIs" dxfId="165" priority="157" operator="notEqual">
      <formula>0</formula>
    </cfRule>
    <cfRule type="cellIs" dxfId="164" priority="158" operator="equal">
      <formula>0</formula>
    </cfRule>
  </conditionalFormatting>
  <conditionalFormatting sqref="N27:P27">
    <cfRule type="cellIs" dxfId="163" priority="155" operator="notEqual">
      <formula>0</formula>
    </cfRule>
    <cfRule type="cellIs" dxfId="162" priority="156" operator="equal">
      <formula>0</formula>
    </cfRule>
  </conditionalFormatting>
  <conditionalFormatting sqref="J32 L32 P32">
    <cfRule type="cellIs" dxfId="161" priority="153" operator="notEqual">
      <formula>0</formula>
    </cfRule>
    <cfRule type="cellIs" dxfId="160" priority="154" operator="equal">
      <formula>0</formula>
    </cfRule>
  </conditionalFormatting>
  <conditionalFormatting sqref="N32:P32">
    <cfRule type="cellIs" dxfId="159" priority="151" operator="notEqual">
      <formula>0</formula>
    </cfRule>
    <cfRule type="cellIs" dxfId="158" priority="152" operator="equal">
      <formula>0</formula>
    </cfRule>
  </conditionalFormatting>
  <conditionalFormatting sqref="J37 L37 P37">
    <cfRule type="cellIs" dxfId="157" priority="149" operator="notEqual">
      <formula>0</formula>
    </cfRule>
    <cfRule type="cellIs" dxfId="156" priority="150" operator="equal">
      <formula>0</formula>
    </cfRule>
  </conditionalFormatting>
  <conditionalFormatting sqref="N37:P37">
    <cfRule type="cellIs" dxfId="155" priority="147" operator="notEqual">
      <formula>0</formula>
    </cfRule>
    <cfRule type="cellIs" dxfId="154" priority="148" operator="equal">
      <formula>0</formula>
    </cfRule>
  </conditionalFormatting>
  <conditionalFormatting sqref="J42 L42 P42">
    <cfRule type="cellIs" dxfId="153" priority="145" operator="notEqual">
      <formula>0</formula>
    </cfRule>
    <cfRule type="cellIs" dxfId="152" priority="146" operator="equal">
      <formula>0</formula>
    </cfRule>
  </conditionalFormatting>
  <conditionalFormatting sqref="N42:P42">
    <cfRule type="cellIs" dxfId="151" priority="143" operator="notEqual">
      <formula>0</formula>
    </cfRule>
    <cfRule type="cellIs" dxfId="150" priority="144" operator="equal">
      <formula>0</formula>
    </cfRule>
  </conditionalFormatting>
  <conditionalFormatting sqref="J47 L47 P47">
    <cfRule type="cellIs" dxfId="149" priority="141" operator="notEqual">
      <formula>0</formula>
    </cfRule>
    <cfRule type="cellIs" dxfId="148" priority="142" operator="equal">
      <formula>0</formula>
    </cfRule>
  </conditionalFormatting>
  <conditionalFormatting sqref="N47:P47">
    <cfRule type="cellIs" dxfId="147" priority="139" operator="notEqual">
      <formula>0</formula>
    </cfRule>
    <cfRule type="cellIs" dxfId="146" priority="140" operator="equal">
      <formula>0</formula>
    </cfRule>
  </conditionalFormatting>
  <conditionalFormatting sqref="J8:J10">
    <cfRule type="cellIs" dxfId="145" priority="83" operator="notEqual">
      <formula>0</formula>
    </cfRule>
    <cfRule type="cellIs" dxfId="144" priority="84" operator="equal">
      <formula>0</formula>
    </cfRule>
  </conditionalFormatting>
  <conditionalFormatting sqref="L8:L10">
    <cfRule type="cellIs" dxfId="143" priority="137" operator="notEqual">
      <formula>0</formula>
    </cfRule>
    <cfRule type="cellIs" dxfId="142" priority="138" operator="equal">
      <formula>0</formula>
    </cfRule>
  </conditionalFormatting>
  <conditionalFormatting sqref="L13:L15">
    <cfRule type="cellIs" dxfId="141" priority="135" operator="notEqual">
      <formula>0</formula>
    </cfRule>
    <cfRule type="cellIs" dxfId="140" priority="136" operator="equal">
      <formula>0</formula>
    </cfRule>
  </conditionalFormatting>
  <conditionalFormatting sqref="L18:L20">
    <cfRule type="cellIs" dxfId="139" priority="133" operator="notEqual">
      <formula>0</formula>
    </cfRule>
    <cfRule type="cellIs" dxfId="138" priority="134" operator="equal">
      <formula>0</formula>
    </cfRule>
  </conditionalFormatting>
  <conditionalFormatting sqref="L23:L25">
    <cfRule type="cellIs" dxfId="137" priority="131" operator="notEqual">
      <formula>0</formula>
    </cfRule>
    <cfRule type="cellIs" dxfId="136" priority="132" operator="equal">
      <formula>0</formula>
    </cfRule>
  </conditionalFormatting>
  <conditionalFormatting sqref="L28:L30">
    <cfRule type="cellIs" dxfId="135" priority="129" operator="notEqual">
      <formula>0</formula>
    </cfRule>
    <cfRule type="cellIs" dxfId="134" priority="130" operator="equal">
      <formula>0</formula>
    </cfRule>
  </conditionalFormatting>
  <conditionalFormatting sqref="L33:L35">
    <cfRule type="cellIs" dxfId="133" priority="127" operator="notEqual">
      <formula>0</formula>
    </cfRule>
    <cfRule type="cellIs" dxfId="132" priority="128" operator="equal">
      <formula>0</formula>
    </cfRule>
  </conditionalFormatting>
  <conditionalFormatting sqref="L38:L40">
    <cfRule type="cellIs" dxfId="131" priority="125" operator="notEqual">
      <formula>0</formula>
    </cfRule>
    <cfRule type="cellIs" dxfId="130" priority="126" operator="equal">
      <formula>0</formula>
    </cfRule>
  </conditionalFormatting>
  <conditionalFormatting sqref="L43:L45">
    <cfRule type="cellIs" dxfId="129" priority="123" operator="notEqual">
      <formula>0</formula>
    </cfRule>
    <cfRule type="cellIs" dxfId="128" priority="124" operator="equal">
      <formula>0</formula>
    </cfRule>
  </conditionalFormatting>
  <conditionalFormatting sqref="L43:L45">
    <cfRule type="cellIs" dxfId="127" priority="121" operator="notEqual">
      <formula>0</formula>
    </cfRule>
    <cfRule type="cellIs" dxfId="126" priority="122" operator="equal">
      <formula>0</formula>
    </cfRule>
  </conditionalFormatting>
  <conditionalFormatting sqref="L48:L50">
    <cfRule type="cellIs" dxfId="125" priority="119" operator="notEqual">
      <formula>0</formula>
    </cfRule>
    <cfRule type="cellIs" dxfId="124" priority="120" operator="equal">
      <formula>0</formula>
    </cfRule>
  </conditionalFormatting>
  <conditionalFormatting sqref="L48:L50">
    <cfRule type="cellIs" dxfId="123" priority="117" operator="notEqual">
      <formula>0</formula>
    </cfRule>
    <cfRule type="cellIs" dxfId="122" priority="118" operator="equal">
      <formula>0</formula>
    </cfRule>
  </conditionalFormatting>
  <conditionalFormatting sqref="J48:J50">
    <cfRule type="cellIs" dxfId="121" priority="115" operator="notEqual">
      <formula>0</formula>
    </cfRule>
    <cfRule type="cellIs" dxfId="120" priority="116" operator="equal">
      <formula>0</formula>
    </cfRule>
  </conditionalFormatting>
  <conditionalFormatting sqref="J48:J50">
    <cfRule type="cellIs" dxfId="119" priority="113" operator="notEqual">
      <formula>0</formula>
    </cfRule>
    <cfRule type="cellIs" dxfId="118" priority="114" operator="equal">
      <formula>0</formula>
    </cfRule>
  </conditionalFormatting>
  <conditionalFormatting sqref="J43:J45">
    <cfRule type="cellIs" dxfId="117" priority="111" operator="notEqual">
      <formula>0</formula>
    </cfRule>
    <cfRule type="cellIs" dxfId="116" priority="112" operator="equal">
      <formula>0</formula>
    </cfRule>
  </conditionalFormatting>
  <conditionalFormatting sqref="J43:J45">
    <cfRule type="cellIs" dxfId="115" priority="109" operator="notEqual">
      <formula>0</formula>
    </cfRule>
    <cfRule type="cellIs" dxfId="114" priority="110" operator="equal">
      <formula>0</formula>
    </cfRule>
  </conditionalFormatting>
  <conditionalFormatting sqref="J38:J40">
    <cfRule type="cellIs" dxfId="113" priority="107" operator="notEqual">
      <formula>0</formula>
    </cfRule>
    <cfRule type="cellIs" dxfId="112" priority="108" operator="equal">
      <formula>0</formula>
    </cfRule>
  </conditionalFormatting>
  <conditionalFormatting sqref="J33:J35">
    <cfRule type="cellIs" dxfId="111" priority="105" operator="notEqual">
      <formula>0</formula>
    </cfRule>
    <cfRule type="cellIs" dxfId="110" priority="106" operator="equal">
      <formula>0</formula>
    </cfRule>
  </conditionalFormatting>
  <conditionalFormatting sqref="J33:J35">
    <cfRule type="cellIs" dxfId="109" priority="103" operator="notEqual">
      <formula>0</formula>
    </cfRule>
    <cfRule type="cellIs" dxfId="108" priority="104" operator="equal">
      <formula>0</formula>
    </cfRule>
  </conditionalFormatting>
  <conditionalFormatting sqref="J28:J30">
    <cfRule type="cellIs" dxfId="107" priority="101" operator="notEqual">
      <formula>0</formula>
    </cfRule>
    <cfRule type="cellIs" dxfId="106" priority="102" operator="equal">
      <formula>0</formula>
    </cfRule>
  </conditionalFormatting>
  <conditionalFormatting sqref="J28:J30">
    <cfRule type="cellIs" dxfId="105" priority="99" operator="notEqual">
      <formula>0</formula>
    </cfRule>
    <cfRule type="cellIs" dxfId="104" priority="100" operator="equal">
      <formula>0</formula>
    </cfRule>
  </conditionalFormatting>
  <conditionalFormatting sqref="J23:J25">
    <cfRule type="cellIs" dxfId="103" priority="97" operator="notEqual">
      <formula>0</formula>
    </cfRule>
    <cfRule type="cellIs" dxfId="102" priority="98" operator="equal">
      <formula>0</formula>
    </cfRule>
  </conditionalFormatting>
  <conditionalFormatting sqref="J23:J25">
    <cfRule type="cellIs" dxfId="101" priority="95" operator="notEqual">
      <formula>0</formula>
    </cfRule>
    <cfRule type="cellIs" dxfId="100" priority="96" operator="equal">
      <formula>0</formula>
    </cfRule>
  </conditionalFormatting>
  <conditionalFormatting sqref="J18:J20">
    <cfRule type="cellIs" dxfId="99" priority="93" operator="notEqual">
      <formula>0</formula>
    </cfRule>
    <cfRule type="cellIs" dxfId="98" priority="94" operator="equal">
      <formula>0</formula>
    </cfRule>
  </conditionalFormatting>
  <conditionalFormatting sqref="J18:J20">
    <cfRule type="cellIs" dxfId="97" priority="91" operator="notEqual">
      <formula>0</formula>
    </cfRule>
    <cfRule type="cellIs" dxfId="96" priority="92" operator="equal">
      <formula>0</formula>
    </cfRule>
  </conditionalFormatting>
  <conditionalFormatting sqref="J13:J15">
    <cfRule type="cellIs" dxfId="95" priority="89" operator="notEqual">
      <formula>0</formula>
    </cfRule>
    <cfRule type="cellIs" dxfId="94" priority="90" operator="equal">
      <formula>0</formula>
    </cfRule>
  </conditionalFormatting>
  <conditionalFormatting sqref="J13:J15">
    <cfRule type="cellIs" dxfId="93" priority="87" operator="notEqual">
      <formula>0</formula>
    </cfRule>
    <cfRule type="cellIs" dxfId="92" priority="88" operator="equal">
      <formula>0</formula>
    </cfRule>
  </conditionalFormatting>
  <conditionalFormatting sqref="J8:J10">
    <cfRule type="cellIs" dxfId="91" priority="85" operator="notEqual">
      <formula>0</formula>
    </cfRule>
    <cfRule type="cellIs" dxfId="90" priority="86" operator="equal">
      <formula>0</formula>
    </cfRule>
  </conditionalFormatting>
  <conditionalFormatting sqref="J8:M10">
    <cfRule type="cellIs" dxfId="89" priority="81" operator="notEqual">
      <formula>0</formula>
    </cfRule>
    <cfRule type="cellIs" dxfId="88" priority="82" operator="equal">
      <formula>0</formula>
    </cfRule>
  </conditionalFormatting>
  <conditionalFormatting sqref="J13:M15">
    <cfRule type="cellIs" dxfId="87" priority="79" operator="notEqual">
      <formula>0</formula>
    </cfRule>
    <cfRule type="cellIs" dxfId="86" priority="80" operator="equal">
      <formula>0</formula>
    </cfRule>
  </conditionalFormatting>
  <conditionalFormatting sqref="J13:J15">
    <cfRule type="cellIs" dxfId="85" priority="73" operator="notEqual">
      <formula>0</formula>
    </cfRule>
    <cfRule type="cellIs" dxfId="84" priority="74" operator="equal">
      <formula>0</formula>
    </cfRule>
  </conditionalFormatting>
  <conditionalFormatting sqref="L13:L15">
    <cfRule type="cellIs" dxfId="83" priority="77" operator="notEqual">
      <formula>0</formula>
    </cfRule>
    <cfRule type="cellIs" dxfId="82" priority="78" operator="equal">
      <formula>0</formula>
    </cfRule>
  </conditionalFormatting>
  <conditionalFormatting sqref="J13:J15">
    <cfRule type="cellIs" dxfId="81" priority="75" operator="notEqual">
      <formula>0</formula>
    </cfRule>
    <cfRule type="cellIs" dxfId="80" priority="76" operator="equal">
      <formula>0</formula>
    </cfRule>
  </conditionalFormatting>
  <conditionalFormatting sqref="J13:M15">
    <cfRule type="cellIs" dxfId="79" priority="71" operator="notEqual">
      <formula>0</formula>
    </cfRule>
    <cfRule type="cellIs" dxfId="78" priority="72" operator="equal">
      <formula>0</formula>
    </cfRule>
  </conditionalFormatting>
  <conditionalFormatting sqref="J18:M20">
    <cfRule type="cellIs" dxfId="77" priority="69" operator="notEqual">
      <formula>0</formula>
    </cfRule>
    <cfRule type="cellIs" dxfId="76" priority="70" operator="equal">
      <formula>0</formula>
    </cfRule>
  </conditionalFormatting>
  <conditionalFormatting sqref="J18:J20">
    <cfRule type="cellIs" dxfId="75" priority="63" operator="notEqual">
      <formula>0</formula>
    </cfRule>
    <cfRule type="cellIs" dxfId="74" priority="64" operator="equal">
      <formula>0</formula>
    </cfRule>
  </conditionalFormatting>
  <conditionalFormatting sqref="L18:L20">
    <cfRule type="cellIs" dxfId="73" priority="67" operator="notEqual">
      <formula>0</formula>
    </cfRule>
    <cfRule type="cellIs" dxfId="72" priority="68" operator="equal">
      <formula>0</formula>
    </cfRule>
  </conditionalFormatting>
  <conditionalFormatting sqref="J18:J20">
    <cfRule type="cellIs" dxfId="71" priority="65" operator="notEqual">
      <formula>0</formula>
    </cfRule>
    <cfRule type="cellIs" dxfId="70" priority="66" operator="equal">
      <formula>0</formula>
    </cfRule>
  </conditionalFormatting>
  <conditionalFormatting sqref="J18:M20">
    <cfRule type="cellIs" dxfId="69" priority="61" operator="notEqual">
      <formula>0</formula>
    </cfRule>
    <cfRule type="cellIs" dxfId="68" priority="62" operator="equal">
      <formula>0</formula>
    </cfRule>
  </conditionalFormatting>
  <conditionalFormatting sqref="J23:M25">
    <cfRule type="cellIs" dxfId="67" priority="59" operator="notEqual">
      <formula>0</formula>
    </cfRule>
    <cfRule type="cellIs" dxfId="66" priority="60" operator="equal">
      <formula>0</formula>
    </cfRule>
  </conditionalFormatting>
  <conditionalFormatting sqref="J23:J25">
    <cfRule type="cellIs" dxfId="65" priority="53" operator="notEqual">
      <formula>0</formula>
    </cfRule>
    <cfRule type="cellIs" dxfId="64" priority="54" operator="equal">
      <formula>0</formula>
    </cfRule>
  </conditionalFormatting>
  <conditionalFormatting sqref="L23:L25">
    <cfRule type="cellIs" dxfId="63" priority="57" operator="notEqual">
      <formula>0</formula>
    </cfRule>
    <cfRule type="cellIs" dxfId="62" priority="58" operator="equal">
      <formula>0</formula>
    </cfRule>
  </conditionalFormatting>
  <conditionalFormatting sqref="J23:J25">
    <cfRule type="cellIs" dxfId="61" priority="55" operator="notEqual">
      <formula>0</formula>
    </cfRule>
    <cfRule type="cellIs" dxfId="60" priority="56" operator="equal">
      <formula>0</formula>
    </cfRule>
  </conditionalFormatting>
  <conditionalFormatting sqref="J23:M25">
    <cfRule type="cellIs" dxfId="59" priority="51" operator="notEqual">
      <formula>0</formula>
    </cfRule>
    <cfRule type="cellIs" dxfId="58" priority="52" operator="equal">
      <formula>0</formula>
    </cfRule>
  </conditionalFormatting>
  <conditionalFormatting sqref="J28:M30">
    <cfRule type="cellIs" dxfId="57" priority="49" operator="notEqual">
      <formula>0</formula>
    </cfRule>
    <cfRule type="cellIs" dxfId="56" priority="50" operator="equal">
      <formula>0</formula>
    </cfRule>
  </conditionalFormatting>
  <conditionalFormatting sqref="J28:J30">
    <cfRule type="cellIs" dxfId="55" priority="43" operator="notEqual">
      <formula>0</formula>
    </cfRule>
    <cfRule type="cellIs" dxfId="54" priority="44" operator="equal">
      <formula>0</formula>
    </cfRule>
  </conditionalFormatting>
  <conditionalFormatting sqref="L28:L30">
    <cfRule type="cellIs" dxfId="53" priority="47" operator="notEqual">
      <formula>0</formula>
    </cfRule>
    <cfRule type="cellIs" dxfId="52" priority="48" operator="equal">
      <formula>0</formula>
    </cfRule>
  </conditionalFormatting>
  <conditionalFormatting sqref="J28:J30">
    <cfRule type="cellIs" dxfId="51" priority="45" operator="notEqual">
      <formula>0</formula>
    </cfRule>
    <cfRule type="cellIs" dxfId="50" priority="46" operator="equal">
      <formula>0</formula>
    </cfRule>
  </conditionalFormatting>
  <conditionalFormatting sqref="J28:M30">
    <cfRule type="cellIs" dxfId="49" priority="41" operator="notEqual">
      <formula>0</formula>
    </cfRule>
    <cfRule type="cellIs" dxfId="48" priority="42" operator="equal">
      <formula>0</formula>
    </cfRule>
  </conditionalFormatting>
  <conditionalFormatting sqref="J33:M35">
    <cfRule type="cellIs" dxfId="47" priority="39" operator="notEqual">
      <formula>0</formula>
    </cfRule>
    <cfRule type="cellIs" dxfId="46" priority="40" operator="equal">
      <formula>0</formula>
    </cfRule>
  </conditionalFormatting>
  <conditionalFormatting sqref="J33:J35">
    <cfRule type="cellIs" dxfId="45" priority="33" operator="notEqual">
      <formula>0</formula>
    </cfRule>
    <cfRule type="cellIs" dxfId="44" priority="34" operator="equal">
      <formula>0</formula>
    </cfRule>
  </conditionalFormatting>
  <conditionalFormatting sqref="L33:L35">
    <cfRule type="cellIs" dxfId="43" priority="37" operator="notEqual">
      <formula>0</formula>
    </cfRule>
    <cfRule type="cellIs" dxfId="42" priority="38" operator="equal">
      <formula>0</formula>
    </cfRule>
  </conditionalFormatting>
  <conditionalFormatting sqref="J33:J35">
    <cfRule type="cellIs" dxfId="41" priority="35" operator="notEqual">
      <formula>0</formula>
    </cfRule>
    <cfRule type="cellIs" dxfId="40" priority="36" operator="equal">
      <formula>0</formula>
    </cfRule>
  </conditionalFormatting>
  <conditionalFormatting sqref="J33:M35">
    <cfRule type="cellIs" dxfId="39" priority="31" operator="notEqual">
      <formula>0</formula>
    </cfRule>
    <cfRule type="cellIs" dxfId="38" priority="32" operator="equal">
      <formula>0</formula>
    </cfRule>
  </conditionalFormatting>
  <conditionalFormatting sqref="J38:M40">
    <cfRule type="cellIs" dxfId="37" priority="29" operator="notEqual">
      <formula>0</formula>
    </cfRule>
    <cfRule type="cellIs" dxfId="36" priority="30" operator="equal">
      <formula>0</formula>
    </cfRule>
  </conditionalFormatting>
  <conditionalFormatting sqref="J38:J40">
    <cfRule type="cellIs" dxfId="35" priority="23" operator="notEqual">
      <formula>0</formula>
    </cfRule>
    <cfRule type="cellIs" dxfId="34" priority="24" operator="equal">
      <formula>0</formula>
    </cfRule>
  </conditionalFormatting>
  <conditionalFormatting sqref="L38:L40">
    <cfRule type="cellIs" dxfId="33" priority="27" operator="notEqual">
      <formula>0</formula>
    </cfRule>
    <cfRule type="cellIs" dxfId="32" priority="28" operator="equal">
      <formula>0</formula>
    </cfRule>
  </conditionalFormatting>
  <conditionalFormatting sqref="J38:J40">
    <cfRule type="cellIs" dxfId="31" priority="25" operator="notEqual">
      <formula>0</formula>
    </cfRule>
    <cfRule type="cellIs" dxfId="30" priority="26" operator="equal">
      <formula>0</formula>
    </cfRule>
  </conditionalFormatting>
  <conditionalFormatting sqref="J38:M40">
    <cfRule type="cellIs" dxfId="29" priority="21" operator="notEqual">
      <formula>0</formula>
    </cfRule>
    <cfRule type="cellIs" dxfId="28" priority="22" operator="equal">
      <formula>0</formula>
    </cfRule>
  </conditionalFormatting>
  <conditionalFormatting sqref="J43:M45">
    <cfRule type="cellIs" dxfId="27" priority="19" operator="notEqual">
      <formula>0</formula>
    </cfRule>
    <cfRule type="cellIs" dxfId="26" priority="20" operator="equal">
      <formula>0</formula>
    </cfRule>
  </conditionalFormatting>
  <conditionalFormatting sqref="J43:J45">
    <cfRule type="cellIs" dxfId="25" priority="13" operator="notEqual">
      <formula>0</formula>
    </cfRule>
    <cfRule type="cellIs" dxfId="24" priority="14" operator="equal">
      <formula>0</formula>
    </cfRule>
  </conditionalFormatting>
  <conditionalFormatting sqref="L43:L45">
    <cfRule type="cellIs" dxfId="23" priority="17" operator="notEqual">
      <formula>0</formula>
    </cfRule>
    <cfRule type="cellIs" dxfId="22" priority="18" operator="equal">
      <formula>0</formula>
    </cfRule>
  </conditionalFormatting>
  <conditionalFormatting sqref="J43:J45">
    <cfRule type="cellIs" dxfId="21" priority="15" operator="notEqual">
      <formula>0</formula>
    </cfRule>
    <cfRule type="cellIs" dxfId="20" priority="16" operator="equal">
      <formula>0</formula>
    </cfRule>
  </conditionalFormatting>
  <conditionalFormatting sqref="J43:M45">
    <cfRule type="cellIs" dxfId="19" priority="11" operator="notEqual">
      <formula>0</formula>
    </cfRule>
    <cfRule type="cellIs" dxfId="18" priority="12" operator="equal">
      <formula>0</formula>
    </cfRule>
  </conditionalFormatting>
  <conditionalFormatting sqref="J48:M50">
    <cfRule type="cellIs" dxfId="17" priority="9" operator="notEqual">
      <formula>0</formula>
    </cfRule>
    <cfRule type="cellIs" dxfId="16" priority="10" operator="equal">
      <formula>0</formula>
    </cfRule>
  </conditionalFormatting>
  <conditionalFormatting sqref="J48:J50">
    <cfRule type="cellIs" dxfId="15" priority="3" operator="notEqual">
      <formula>0</formula>
    </cfRule>
    <cfRule type="cellIs" dxfId="14" priority="4" operator="equal">
      <formula>0</formula>
    </cfRule>
  </conditionalFormatting>
  <conditionalFormatting sqref="L48:L50">
    <cfRule type="cellIs" dxfId="13" priority="7" operator="notEqual">
      <formula>0</formula>
    </cfRule>
    <cfRule type="cellIs" dxfId="12" priority="8" operator="equal">
      <formula>0</formula>
    </cfRule>
  </conditionalFormatting>
  <conditionalFormatting sqref="J48:J50">
    <cfRule type="cellIs" dxfId="11" priority="5" operator="notEqual">
      <formula>0</formula>
    </cfRule>
    <cfRule type="cellIs" dxfId="10" priority="6" operator="equal">
      <formula>0</formula>
    </cfRule>
  </conditionalFormatting>
  <conditionalFormatting sqref="J48:M50">
    <cfRule type="cellIs" dxfId="9" priority="1" operator="notEqual">
      <formula>0</formula>
    </cfRule>
    <cfRule type="cellIs" dxfId="8" priority="2" operator="equal">
      <formula>0</formula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4"/>
  <sheetViews>
    <sheetView workbookViewId="0">
      <selection activeCell="J17" sqref="J17"/>
    </sheetView>
  </sheetViews>
  <sheetFormatPr defaultRowHeight="15" x14ac:dyDescent="0.25"/>
  <cols>
    <col min="2" max="2" width="28" bestFit="1" customWidth="1"/>
    <col min="5" max="5" width="11.7109375" style="21" bestFit="1" customWidth="1"/>
    <col min="6" max="6" width="9.140625" style="21"/>
    <col min="27" max="27" width="11.5703125" hidden="1" customWidth="1"/>
    <col min="28" max="28" width="0" hidden="1" customWidth="1"/>
  </cols>
  <sheetData>
    <row r="1" spans="1:28" ht="15.75" thickBot="1" x14ac:dyDescent="0.3">
      <c r="A1" s="16"/>
      <c r="B1" s="16"/>
      <c r="C1" s="16"/>
      <c r="D1" s="16"/>
      <c r="E1" s="16"/>
      <c r="F1" s="16"/>
      <c r="G1" s="16"/>
    </row>
    <row r="2" spans="1:28" s="21" customFormat="1" ht="15.75" thickBot="1" x14ac:dyDescent="0.3">
      <c r="A2" s="16"/>
      <c r="B2" s="28" t="s">
        <v>149</v>
      </c>
      <c r="C2" s="29">
        <v>0</v>
      </c>
      <c r="D2" s="16"/>
      <c r="E2" s="16"/>
      <c r="F2" s="30">
        <f>IF(C3&gt;0,AB2,0)</f>
        <v>0</v>
      </c>
      <c r="G2" s="16"/>
      <c r="AB2" s="21" t="s">
        <v>113</v>
      </c>
    </row>
    <row r="3" spans="1:28" ht="15.75" thickBot="1" x14ac:dyDescent="0.3">
      <c r="A3" s="16"/>
      <c r="B3" s="28" t="s">
        <v>126</v>
      </c>
      <c r="C3" s="29">
        <f>ROUNDUP(C2/27,0)</f>
        <v>0</v>
      </c>
      <c r="D3" s="16"/>
      <c r="E3" s="30">
        <f>IF($C$3&gt;=1,AA3,0)</f>
        <v>0</v>
      </c>
      <c r="F3" s="31">
        <f>IF($C$3&gt;=1,AB3,0)</f>
        <v>0</v>
      </c>
      <c r="G3" s="16"/>
      <c r="AA3" t="s">
        <v>127</v>
      </c>
      <c r="AB3" s="27">
        <v>32.5</v>
      </c>
    </row>
    <row r="4" spans="1:28" ht="15.75" thickBot="1" x14ac:dyDescent="0.3">
      <c r="A4" s="16"/>
      <c r="B4" s="28" t="s">
        <v>150</v>
      </c>
      <c r="C4" s="32" t="e">
        <f>C2/C3</f>
        <v>#DIV/0!</v>
      </c>
      <c r="D4" s="16"/>
      <c r="E4" s="30">
        <f>IF($C$3&gt;=2,AA4,0)</f>
        <v>0</v>
      </c>
      <c r="F4" s="31">
        <f>IF($C$3&gt;=2,AB4,0)</f>
        <v>0</v>
      </c>
      <c r="G4" s="16"/>
      <c r="AA4" t="s">
        <v>128</v>
      </c>
      <c r="AB4" s="27">
        <v>25</v>
      </c>
    </row>
    <row r="5" spans="1:28" ht="15.75" thickBot="1" x14ac:dyDescent="0.3">
      <c r="A5" s="16"/>
      <c r="B5" s="28" t="s">
        <v>151</v>
      </c>
      <c r="C5" s="33" t="e">
        <f>IF(C4&lt;20,C2/(C3*20),"Ne")</f>
        <v>#DIV/0!</v>
      </c>
      <c r="D5" s="16"/>
      <c r="E5" s="30">
        <f>IF($C$3&gt;=3,AA5,0)</f>
        <v>0</v>
      </c>
      <c r="F5" s="31">
        <f>IF($C$3&gt;=3,AB5,0)</f>
        <v>0</v>
      </c>
      <c r="G5" s="16"/>
      <c r="AA5" t="s">
        <v>129</v>
      </c>
      <c r="AB5" s="27">
        <v>22.5</v>
      </c>
    </row>
    <row r="6" spans="1:28" ht="15.75" thickBot="1" x14ac:dyDescent="0.3">
      <c r="A6" s="16"/>
      <c r="B6" s="28" t="s">
        <v>148</v>
      </c>
      <c r="C6" s="32" t="e">
        <f>IF(C5&lt;1,C5*SUM(F3:F23),SUM(F3:F23))</f>
        <v>#DIV/0!</v>
      </c>
      <c r="D6" s="16"/>
      <c r="E6" s="30">
        <f>IF($C$3&gt;=4,AA6,0)</f>
        <v>0</v>
      </c>
      <c r="F6" s="31">
        <f>IF($C$3&gt;=4,AB6,0)</f>
        <v>0</v>
      </c>
      <c r="G6" s="16"/>
      <c r="AA6" t="s">
        <v>130</v>
      </c>
      <c r="AB6" s="27">
        <v>17.5</v>
      </c>
    </row>
    <row r="7" spans="1:28" x14ac:dyDescent="0.25">
      <c r="A7" s="16"/>
      <c r="B7" s="34"/>
      <c r="C7" s="35"/>
      <c r="D7" s="16"/>
      <c r="E7" s="30">
        <f>IF($C$3&gt;=5,AA7,0)</f>
        <v>0</v>
      </c>
      <c r="F7" s="31">
        <f>IF($C$3&gt;=5,AB7,0)</f>
        <v>0</v>
      </c>
      <c r="G7" s="16"/>
      <c r="AA7" t="s">
        <v>131</v>
      </c>
      <c r="AB7" s="27">
        <v>32.5</v>
      </c>
    </row>
    <row r="8" spans="1:28" x14ac:dyDescent="0.25">
      <c r="A8" s="16"/>
      <c r="B8" s="34"/>
      <c r="C8" s="36"/>
      <c r="D8" s="16"/>
      <c r="E8" s="30">
        <f>IF($C$3&gt;=6,AA8,0)</f>
        <v>0</v>
      </c>
      <c r="F8" s="31">
        <f>IF($C$3&gt;=6,AB8,0)</f>
        <v>0</v>
      </c>
      <c r="G8" s="16"/>
      <c r="AA8" t="s">
        <v>132</v>
      </c>
      <c r="AB8" s="27">
        <v>25</v>
      </c>
    </row>
    <row r="9" spans="1:28" x14ac:dyDescent="0.25">
      <c r="A9" s="16"/>
      <c r="B9" s="34"/>
      <c r="C9" s="35"/>
      <c r="D9" s="16"/>
      <c r="E9" s="30">
        <f>IF($C$3&gt;=7,AA9,0)</f>
        <v>0</v>
      </c>
      <c r="F9" s="31">
        <f>IF($C$3&gt;=7,AB9,0)</f>
        <v>0</v>
      </c>
      <c r="G9" s="16"/>
      <c r="AA9" t="s">
        <v>133</v>
      </c>
      <c r="AB9" s="27">
        <v>22.5</v>
      </c>
    </row>
    <row r="10" spans="1:28" x14ac:dyDescent="0.25">
      <c r="A10" s="16"/>
      <c r="B10" s="16"/>
      <c r="C10" s="16"/>
      <c r="D10" s="16"/>
      <c r="E10" s="30">
        <f>IF($C$3&gt;=8,AA10,0)</f>
        <v>0</v>
      </c>
      <c r="F10" s="31">
        <f>IF($C$3&gt;=8,AB10,0)</f>
        <v>0</v>
      </c>
      <c r="G10" s="16"/>
      <c r="AA10" t="s">
        <v>134</v>
      </c>
      <c r="AB10" s="27">
        <v>17.5</v>
      </c>
    </row>
    <row r="11" spans="1:28" x14ac:dyDescent="0.25">
      <c r="A11" s="16"/>
      <c r="B11" s="16"/>
      <c r="C11" s="16"/>
      <c r="D11" s="16"/>
      <c r="E11" s="30">
        <f>IF($C$3&gt;=9,AA11,0)</f>
        <v>0</v>
      </c>
      <c r="F11" s="31">
        <f>IF($C$3&gt;=9,AB11,0)</f>
        <v>0</v>
      </c>
      <c r="G11" s="16"/>
      <c r="AA11" t="s">
        <v>135</v>
      </c>
      <c r="AB11" s="27">
        <v>32.5</v>
      </c>
    </row>
    <row r="12" spans="1:28" x14ac:dyDescent="0.25">
      <c r="A12" s="16"/>
      <c r="B12" s="16"/>
      <c r="C12" s="16"/>
      <c r="D12" s="16"/>
      <c r="E12" s="30">
        <f>IF($C$3&gt;=10,AA12,0)</f>
        <v>0</v>
      </c>
      <c r="F12" s="31">
        <f>IF($C$3&gt;=10,AB12,0)</f>
        <v>0</v>
      </c>
      <c r="G12" s="16"/>
      <c r="AA12" t="s">
        <v>136</v>
      </c>
      <c r="AB12" s="27">
        <v>25</v>
      </c>
    </row>
    <row r="13" spans="1:28" x14ac:dyDescent="0.25">
      <c r="A13" s="16"/>
      <c r="B13" s="16"/>
      <c r="C13" s="16"/>
      <c r="D13" s="16"/>
      <c r="E13" s="30">
        <f>IF($C$3&gt;=11,AA13,0)</f>
        <v>0</v>
      </c>
      <c r="F13" s="31">
        <f>IF($C$3&gt;=11,AB13,0)</f>
        <v>0</v>
      </c>
      <c r="G13" s="16"/>
      <c r="AA13" t="s">
        <v>137</v>
      </c>
      <c r="AB13" s="27">
        <v>22.5</v>
      </c>
    </row>
    <row r="14" spans="1:28" x14ac:dyDescent="0.25">
      <c r="A14" s="16"/>
      <c r="B14" s="16"/>
      <c r="C14" s="16"/>
      <c r="D14" s="16"/>
      <c r="E14" s="30">
        <f>IF($C$3&gt;=12,AA14,0)</f>
        <v>0</v>
      </c>
      <c r="F14" s="31">
        <f>IF($C$3&gt;=12,AB14,0)</f>
        <v>0</v>
      </c>
      <c r="G14" s="16"/>
      <c r="AA14" t="s">
        <v>138</v>
      </c>
      <c r="AB14" s="27">
        <v>17.5</v>
      </c>
    </row>
    <row r="15" spans="1:28" x14ac:dyDescent="0.25">
      <c r="A15" s="16"/>
      <c r="B15" s="16"/>
      <c r="C15" s="16"/>
      <c r="D15" s="16"/>
      <c r="E15" s="30">
        <f>IF($C$3&gt;=13,AA15,0)</f>
        <v>0</v>
      </c>
      <c r="F15" s="31">
        <f>IF($C$3&gt;=13,AB15,0)</f>
        <v>0</v>
      </c>
      <c r="G15" s="16"/>
      <c r="AA15" t="s">
        <v>139</v>
      </c>
      <c r="AB15" s="27">
        <v>32.5</v>
      </c>
    </row>
    <row r="16" spans="1:28" x14ac:dyDescent="0.25">
      <c r="A16" s="16"/>
      <c r="B16" s="16"/>
      <c r="C16" s="16"/>
      <c r="D16" s="16"/>
      <c r="E16" s="30">
        <f>IF($C$3&gt;=14,AA16,0)</f>
        <v>0</v>
      </c>
      <c r="F16" s="31">
        <f>IF($C$3&gt;=14,AB16,0)</f>
        <v>0</v>
      </c>
      <c r="G16" s="16"/>
      <c r="AA16" t="s">
        <v>140</v>
      </c>
      <c r="AB16" s="27">
        <v>25</v>
      </c>
    </row>
    <row r="17" spans="1:28" x14ac:dyDescent="0.25">
      <c r="A17" s="16"/>
      <c r="B17" s="16"/>
      <c r="C17" s="16"/>
      <c r="D17" s="16"/>
      <c r="E17" s="30">
        <f>IF($C$3&gt;=15,AA17,0)</f>
        <v>0</v>
      </c>
      <c r="F17" s="31">
        <f>IF($C$3&gt;=15,AB17,0)</f>
        <v>0</v>
      </c>
      <c r="G17" s="16"/>
      <c r="AA17" t="s">
        <v>141</v>
      </c>
      <c r="AB17" s="27">
        <v>22.5</v>
      </c>
    </row>
    <row r="18" spans="1:28" x14ac:dyDescent="0.25">
      <c r="A18" s="16"/>
      <c r="B18" s="16"/>
      <c r="C18" s="16"/>
      <c r="D18" s="16"/>
      <c r="E18" s="30">
        <f>IF($C$3&gt;=16,AA18,0)</f>
        <v>0</v>
      </c>
      <c r="F18" s="31">
        <f>IF($C$3&gt;=16,AB18,0)</f>
        <v>0</v>
      </c>
      <c r="G18" s="16"/>
      <c r="AA18" t="s">
        <v>142</v>
      </c>
      <c r="AB18" s="27">
        <v>17.5</v>
      </c>
    </row>
    <row r="19" spans="1:28" x14ac:dyDescent="0.25">
      <c r="A19" s="16"/>
      <c r="B19" s="16"/>
      <c r="C19" s="16"/>
      <c r="D19" s="16"/>
      <c r="E19" s="30">
        <f>IF($C$3&gt;=17,AA19,0)</f>
        <v>0</v>
      </c>
      <c r="F19" s="31">
        <f>IF($C$3&gt;=17,AB19,0)</f>
        <v>0</v>
      </c>
      <c r="G19" s="16"/>
      <c r="AA19" t="s">
        <v>143</v>
      </c>
      <c r="AB19" s="27">
        <v>22.5</v>
      </c>
    </row>
    <row r="20" spans="1:28" x14ac:dyDescent="0.25">
      <c r="A20" s="16"/>
      <c r="B20" s="16"/>
      <c r="C20" s="16"/>
      <c r="D20" s="16"/>
      <c r="E20" s="30">
        <f>IF($C$3&gt;=18,AA20,0)</f>
        <v>0</v>
      </c>
      <c r="F20" s="31">
        <f>IF($C$3&gt;=18,AB20,0)</f>
        <v>0</v>
      </c>
      <c r="G20" s="16"/>
      <c r="AA20" t="s">
        <v>144</v>
      </c>
      <c r="AB20" s="27">
        <v>22.5</v>
      </c>
    </row>
    <row r="21" spans="1:28" x14ac:dyDescent="0.25">
      <c r="A21" s="16"/>
      <c r="B21" s="16"/>
      <c r="C21" s="16"/>
      <c r="D21" s="16"/>
      <c r="E21" s="30">
        <f>IF($C$3&gt;=19,AA21,0)</f>
        <v>0</v>
      </c>
      <c r="F21" s="31">
        <f>IF($C$3&gt;=19,AB21,0)</f>
        <v>0</v>
      </c>
      <c r="G21" s="16"/>
      <c r="AA21" t="s">
        <v>145</v>
      </c>
      <c r="AB21" s="27">
        <v>22.5</v>
      </c>
    </row>
    <row r="22" spans="1:28" x14ac:dyDescent="0.25">
      <c r="A22" s="16"/>
      <c r="B22" s="16"/>
      <c r="C22" s="16"/>
      <c r="D22" s="16"/>
      <c r="E22" s="30">
        <f>IF($C$3&gt;=20,AA22,0)</f>
        <v>0</v>
      </c>
      <c r="F22" s="31">
        <f>IF($C$3&gt;=20,AB22,0)</f>
        <v>0</v>
      </c>
      <c r="G22" s="16"/>
      <c r="AA22" t="s">
        <v>146</v>
      </c>
      <c r="AB22" s="27">
        <v>22.5</v>
      </c>
    </row>
    <row r="23" spans="1:28" x14ac:dyDescent="0.25">
      <c r="A23" s="16"/>
      <c r="B23" s="16"/>
      <c r="C23" s="16"/>
      <c r="D23" s="16"/>
      <c r="E23" s="30">
        <f>IF($C$3&gt;=21,AA23,0)</f>
        <v>0</v>
      </c>
      <c r="F23" s="31">
        <f>IF($C$3&gt;=21,AB23,0)</f>
        <v>0</v>
      </c>
      <c r="G23" s="16"/>
      <c r="AA23" t="s">
        <v>147</v>
      </c>
      <c r="AB23" s="27">
        <v>22.5</v>
      </c>
    </row>
    <row r="24" spans="1:28" x14ac:dyDescent="0.25">
      <c r="A24" s="16"/>
      <c r="B24" s="16"/>
      <c r="C24" s="16"/>
      <c r="D24" s="16"/>
      <c r="E24" s="16"/>
      <c r="F24" s="16"/>
      <c r="G24" s="16"/>
    </row>
  </sheetData>
  <conditionalFormatting sqref="F2">
    <cfRule type="cellIs" dxfId="7" priority="7" operator="notEqual">
      <formula>0</formula>
    </cfRule>
    <cfRule type="cellIs" dxfId="6" priority="8" operator="equal">
      <formula>0</formula>
    </cfRule>
  </conditionalFormatting>
  <conditionalFormatting sqref="E3:E23">
    <cfRule type="cellIs" dxfId="5" priority="5" operator="notEqual">
      <formula>0</formula>
    </cfRule>
    <cfRule type="cellIs" dxfId="4" priority="6" operator="equal">
      <formula>0</formula>
    </cfRule>
  </conditionalFormatting>
  <conditionalFormatting sqref="F3:F23">
    <cfRule type="cellIs" dxfId="3" priority="3" operator="equal">
      <formula>0</formula>
    </cfRule>
    <cfRule type="cellIs" dxfId="2" priority="4" operator="greaterThan">
      <formula>0</formula>
    </cfRule>
  </conditionalFormatting>
  <conditionalFormatting sqref="C3:C6">
    <cfRule type="containsErrors" dxfId="1" priority="1">
      <formula>ISERROR(C3)</formula>
    </cfRule>
    <cfRule type="cellIs" dxfId="0" priority="2" operator="equal">
      <formula>0</formula>
    </cfRule>
  </conditionalFormatting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Data</vt:lpstr>
      <vt:lpstr>ZŠ</vt:lpstr>
      <vt:lpstr>MŚ</vt:lpstr>
      <vt:lpstr>ŠD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Zbyněk</dc:creator>
  <cp:lastModifiedBy>Zbyněk</cp:lastModifiedBy>
  <dcterms:created xsi:type="dcterms:W3CDTF">2018-11-24T17:46:24Z</dcterms:created>
  <dcterms:modified xsi:type="dcterms:W3CDTF">2018-12-02T14:39:19Z</dcterms:modified>
</cp:coreProperties>
</file>